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Desktop\mod_calculadora 13-07-22\"/>
    </mc:Choice>
  </mc:AlternateContent>
  <bookViews>
    <workbookView xWindow="0" yWindow="0" windowWidth="28800" windowHeight="12435" tabRatio="906"/>
  </bookViews>
  <sheets>
    <sheet name="PORTADA" sheetId="1" r:id="rId1"/>
    <sheet name="0_Dades generals organització" sheetId="2" r:id="rId2"/>
    <sheet name="1_Combustibles fòssils" sheetId="3" r:id="rId3"/>
    <sheet name="2_Fluorats" sheetId="4" r:id="rId4"/>
    <sheet name="3_Emissions processos" sheetId="5" r:id="rId5"/>
    <sheet name="4.1_Electricitat Illes Balears" sheetId="6" r:id="rId6"/>
    <sheet name="4.2_Electricitat Espanya" sheetId="7" r:id="rId7"/>
    <sheet name="5_Informació addicional" sheetId="8" r:id="rId8"/>
    <sheet name="6.1_Resultats Illes Balears" sheetId="9" r:id="rId9"/>
    <sheet name="6.2_Resultats Espanya" sheetId="10" r:id="rId10"/>
    <sheet name="Dades" sheetId="11" state="hidden" r:id="rId11"/>
  </sheets>
  <definedNames>
    <definedName name="_Com2011">Dades!$J$223:$J$247</definedName>
    <definedName name="_Com2012">Dades!$L$223:$L$249</definedName>
    <definedName name="_Com2013">Dades!$N$223:$N$259</definedName>
    <definedName name="_Com2014">Dades!$P$223:$P$265</definedName>
    <definedName name="_Com2015">Dades!$R$223:$R$289</definedName>
    <definedName name="_Com2016">Dades!$T$223:$T$342</definedName>
    <definedName name="_Com2017">Dades!$V$223:$V$346</definedName>
    <definedName name="_Com2018">Dades!$X$223:$X$397</definedName>
    <definedName name="_Com2019">Dades!$Z$223:$Z$422</definedName>
    <definedName name="_Com2020">Dades!$AB$223:$AB$467</definedName>
    <definedName name="_Mix2011">Dades!$K$223:$K$247</definedName>
    <definedName name="_Mix2012">Dades!$M$223:$M$249</definedName>
    <definedName name="_Mix2013">Dades!$O$223:$O$259</definedName>
    <definedName name="_Mix2014">Dades!$Q$223:$Q$265</definedName>
    <definedName name="_Mix2015">Dades!$S$223:$S$289</definedName>
    <definedName name="_Mix2016">Dades!$U$223:$U$342</definedName>
    <definedName name="_Mix2017">Dades!$W$223:$W$346</definedName>
    <definedName name="_Mix2018">Dades!$Y$223:$Y$397</definedName>
    <definedName name="_Mix2019">Dades!$AA$223:$AA$422</definedName>
    <definedName name="_Mix2020">Dades!$AC$223:$AC$467</definedName>
    <definedName name="_MixIB">Dades!$T$637:$X$652</definedName>
    <definedName name="Año">Dades!$C$7:$C$16</definedName>
    <definedName name="GdO_1">Dades!$I$225</definedName>
    <definedName name="GdO_2">Dades!$I$223:$I$225</definedName>
    <definedName name="Lista_Comb_fósiles_fijos_2011">Dades!$C$32:$C$56</definedName>
    <definedName name="Lista_Comb_fósiles_fijos_2012">Dades!$D$32:$D$56</definedName>
    <definedName name="Lista_Comb_fósiles_fijos_2013">Dades!$E$32:$E$56</definedName>
    <definedName name="Lista_Comb_fósiles_fijos_2014">Dades!$F$32:$F$56</definedName>
    <definedName name="Lista_Comb_fósiles_fijos_2015">Dades!$G$32:$G$56</definedName>
    <definedName name="Lista_Comb_fósiles_fijos_2016">Dades!$H$32:$H$56</definedName>
    <definedName name="Lista_Comb_fósiles_fijos_2017">Dades!$I$32:$I$56</definedName>
    <definedName name="Lista_Comb_fósiles_fijos_2018">Dades!$J$32:$J$56</definedName>
    <definedName name="Lista_Comb_fósiles_fijos_2019">Dades!$K$32:$K$54</definedName>
    <definedName name="Lista_Comb_fósiles_fijos_2020">Dades!$L$32:$L$54</definedName>
    <definedName name="Lista_Comb_fósiles_vehículos_2011">Dades!$C$62:$C$80</definedName>
    <definedName name="Lista_Comb_fósiles_vehículos_2012">Dades!$D$62:$D$80</definedName>
    <definedName name="Lista_Comb_fósiles_vehículos_2013">Dades!$E$62:$E$80</definedName>
    <definedName name="Lista_Comb_fósiles_vehículos_2014">Dades!$F$62:$F$80</definedName>
    <definedName name="Lista_Comb_fósiles_vehículos_2015">Dades!$G$62:$G$80</definedName>
    <definedName name="Lista_Comb_fósiles_vehículos_2016">Dades!$H$62:$H$80</definedName>
    <definedName name="Lista_Comb_fósiles_vehículos_2017">Dades!$I$62:$I$80</definedName>
    <definedName name="Lista_Comb_fósiles_vehículos_2018">Dades!$J$62:$J$80</definedName>
    <definedName name="Lista_Comb_fósiles_vehículos_2019">Dades!$K$62:$K$78</definedName>
    <definedName name="Lista_Comb_fósiles_vehículos_2020">Dades!$L$62:$L$78</definedName>
    <definedName name="NombrePrep">Dades!$E$171:$E$215</definedName>
    <definedName name="Sector">Dades!$E$7:$E$27</definedName>
    <definedName name="Tipo_Biomasa">Dades!$D$511:$D$516</definedName>
    <definedName name="Tipo_ER">Dades!$C$511:$C$515</definedName>
    <definedName name="TipoOrg">Dades!$D$7:$D$14</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J49" i="3" l="1"/>
  <c r="K49" i="3"/>
  <c r="L49" i="3"/>
  <c r="J50" i="3"/>
  <c r="K50" i="3"/>
  <c r="L50" i="3"/>
  <c r="J51" i="3"/>
  <c r="K51" i="3"/>
  <c r="L51" i="3"/>
  <c r="J52" i="3"/>
  <c r="K52" i="3"/>
  <c r="L52" i="3"/>
  <c r="J53" i="3"/>
  <c r="K53" i="3"/>
  <c r="L53" i="3"/>
  <c r="J54" i="3"/>
  <c r="K54" i="3"/>
  <c r="L54" i="3"/>
  <c r="J55" i="3"/>
  <c r="K55" i="3"/>
  <c r="L55" i="3"/>
  <c r="J56" i="3"/>
  <c r="K56" i="3"/>
  <c r="L56" i="3"/>
  <c r="J57" i="3"/>
  <c r="K57" i="3"/>
  <c r="L57" i="3"/>
  <c r="J58" i="3"/>
  <c r="K58" i="3"/>
  <c r="L58" i="3"/>
  <c r="J59" i="3"/>
  <c r="K59" i="3"/>
  <c r="L59" i="3"/>
  <c r="J60" i="3"/>
  <c r="K60" i="3"/>
  <c r="L60" i="3"/>
  <c r="J61" i="3"/>
  <c r="K61" i="3"/>
  <c r="L61" i="3"/>
  <c r="J62" i="3"/>
  <c r="K62" i="3"/>
  <c r="L62" i="3"/>
  <c r="J63" i="3"/>
  <c r="K63" i="3"/>
  <c r="L63" i="3"/>
  <c r="J64" i="3"/>
  <c r="K64" i="3"/>
  <c r="L64" i="3"/>
  <c r="J65" i="3"/>
  <c r="K65" i="3"/>
  <c r="L65" i="3"/>
  <c r="J66" i="3"/>
  <c r="K66" i="3"/>
  <c r="L66" i="3"/>
  <c r="J67" i="3"/>
  <c r="K67" i="3"/>
  <c r="L67" i="3"/>
  <c r="I50" i="7" l="1"/>
  <c r="J50" i="7" s="1"/>
  <c r="I51" i="7"/>
  <c r="J51" i="7" s="1"/>
  <c r="I52" i="7"/>
  <c r="J52" i="7" s="1"/>
  <c r="I53" i="7"/>
  <c r="J53" i="7" s="1"/>
  <c r="I54" i="7"/>
  <c r="J54" i="7" s="1"/>
  <c r="I55" i="7"/>
  <c r="J55" i="7" s="1"/>
  <c r="I56" i="7"/>
  <c r="J56" i="7" s="1"/>
  <c r="I57" i="7"/>
  <c r="J57" i="7" s="1"/>
  <c r="I58" i="7"/>
  <c r="J58" i="7" s="1"/>
  <c r="I59" i="7"/>
  <c r="J59" i="7" s="1"/>
  <c r="I60" i="7"/>
  <c r="J60" i="7" s="1"/>
  <c r="I61" i="7"/>
  <c r="J61" i="7" s="1"/>
  <c r="I62" i="7"/>
  <c r="J62" i="7" s="1"/>
  <c r="I63" i="7"/>
  <c r="J63" i="7" s="1"/>
  <c r="I64" i="7"/>
  <c r="J64" i="7" s="1"/>
  <c r="I65" i="7"/>
  <c r="J65" i="7" s="1"/>
  <c r="I66" i="7"/>
  <c r="J66" i="7" s="1"/>
  <c r="I67" i="7"/>
  <c r="J67" i="7" s="1"/>
  <c r="I21" i="7"/>
  <c r="I22" i="7"/>
  <c r="J22" i="7" s="1"/>
  <c r="I23" i="7"/>
  <c r="I24" i="7"/>
  <c r="J24" i="7" s="1"/>
  <c r="I25" i="7"/>
  <c r="I26" i="7"/>
  <c r="I27" i="7"/>
  <c r="I28" i="7"/>
  <c r="J28" i="7" s="1"/>
  <c r="I29" i="7"/>
  <c r="I30" i="7"/>
  <c r="I31" i="7"/>
  <c r="I32" i="7"/>
  <c r="J32" i="7" s="1"/>
  <c r="I34" i="7"/>
  <c r="J34" i="7" s="1"/>
  <c r="I35" i="7"/>
  <c r="I36" i="7"/>
  <c r="J36" i="7" s="1"/>
  <c r="I37" i="7"/>
  <c r="I38" i="7"/>
  <c r="I39" i="7"/>
  <c r="J21" i="7"/>
  <c r="J23" i="7"/>
  <c r="J25" i="7"/>
  <c r="J26" i="7"/>
  <c r="J27" i="7"/>
  <c r="J29" i="7"/>
  <c r="J30" i="7"/>
  <c r="J31" i="7"/>
  <c r="J35" i="7"/>
  <c r="J38" i="7"/>
  <c r="J39" i="7"/>
  <c r="J23" i="6"/>
  <c r="J27" i="6"/>
  <c r="J31" i="6"/>
  <c r="J35" i="6"/>
  <c r="J39" i="6"/>
  <c r="K52" i="6"/>
  <c r="K56" i="6"/>
  <c r="K60" i="6"/>
  <c r="K64" i="6"/>
  <c r="K68" i="6"/>
  <c r="J52" i="6"/>
  <c r="J53" i="6"/>
  <c r="K53" i="6" s="1"/>
  <c r="J54" i="6"/>
  <c r="K54" i="6" s="1"/>
  <c r="J55" i="6"/>
  <c r="K55" i="6" s="1"/>
  <c r="J56" i="6"/>
  <c r="J57" i="6"/>
  <c r="K57" i="6" s="1"/>
  <c r="J58" i="6"/>
  <c r="K58" i="6" s="1"/>
  <c r="J59" i="6"/>
  <c r="K59" i="6" s="1"/>
  <c r="J60" i="6"/>
  <c r="J61" i="6"/>
  <c r="K61" i="6" s="1"/>
  <c r="J62" i="6"/>
  <c r="K62" i="6" s="1"/>
  <c r="J63" i="6"/>
  <c r="K63" i="6" s="1"/>
  <c r="J64" i="6"/>
  <c r="J65" i="6"/>
  <c r="K65" i="6" s="1"/>
  <c r="J66" i="6"/>
  <c r="K66" i="6" s="1"/>
  <c r="J67" i="6"/>
  <c r="K67" i="6" s="1"/>
  <c r="J68" i="6"/>
  <c r="J69" i="6"/>
  <c r="K69" i="6" s="1"/>
  <c r="J70" i="6"/>
  <c r="K70" i="6" s="1"/>
  <c r="J51" i="6"/>
  <c r="K51" i="6" s="1"/>
  <c r="I22" i="6"/>
  <c r="J22" i="6" s="1"/>
  <c r="I23" i="6"/>
  <c r="I24" i="6"/>
  <c r="J24" i="6" s="1"/>
  <c r="I25" i="6"/>
  <c r="J25" i="6" s="1"/>
  <c r="I26" i="6"/>
  <c r="J26" i="6" s="1"/>
  <c r="I27" i="6"/>
  <c r="I28" i="6"/>
  <c r="J28" i="6" s="1"/>
  <c r="I29" i="6"/>
  <c r="J29" i="6" s="1"/>
  <c r="I30" i="6"/>
  <c r="J30" i="6" s="1"/>
  <c r="I31" i="6"/>
  <c r="I32" i="6"/>
  <c r="J32" i="6" s="1"/>
  <c r="I33" i="6"/>
  <c r="J33" i="6" s="1"/>
  <c r="I34" i="6"/>
  <c r="J34" i="6" s="1"/>
  <c r="I35" i="6"/>
  <c r="I36" i="6"/>
  <c r="J36" i="6" s="1"/>
  <c r="I37" i="6"/>
  <c r="J37" i="6" s="1"/>
  <c r="I38" i="6"/>
  <c r="J38" i="6" s="1"/>
  <c r="I39" i="6"/>
  <c r="I40" i="6"/>
  <c r="J40" i="6" s="1"/>
  <c r="I41" i="6"/>
  <c r="J41" i="6" s="1"/>
  <c r="I42" i="6"/>
  <c r="J42" i="6" s="1"/>
  <c r="I21" i="6"/>
  <c r="J21" i="6" s="1"/>
  <c r="H13" i="4"/>
  <c r="H14" i="4"/>
  <c r="H15" i="4"/>
  <c r="H16" i="4"/>
  <c r="H17" i="4"/>
  <c r="H18" i="4"/>
  <c r="H19" i="4"/>
  <c r="H20" i="4"/>
  <c r="H21" i="4"/>
  <c r="H22" i="4"/>
  <c r="H23" i="4"/>
  <c r="H24" i="4"/>
  <c r="H25" i="4"/>
  <c r="H26" i="4"/>
  <c r="H27" i="4"/>
  <c r="H28" i="4"/>
  <c r="H29" i="4"/>
  <c r="H30" i="4"/>
  <c r="H31" i="4"/>
  <c r="H32" i="4"/>
  <c r="H33" i="4"/>
  <c r="K13" i="4"/>
  <c r="K14" i="4"/>
  <c r="K15" i="4"/>
  <c r="K16" i="4"/>
  <c r="K17" i="4"/>
  <c r="K18" i="4"/>
  <c r="K19" i="4"/>
  <c r="K20" i="4"/>
  <c r="K21" i="4"/>
  <c r="K22" i="4"/>
  <c r="K23" i="4"/>
  <c r="K24" i="4"/>
  <c r="K25" i="4"/>
  <c r="K26" i="4"/>
  <c r="K27" i="4"/>
  <c r="K28" i="4"/>
  <c r="K29" i="4"/>
  <c r="K30" i="4"/>
  <c r="K31" i="4"/>
  <c r="K32" i="4"/>
  <c r="K33" i="4"/>
  <c r="K12" i="4"/>
  <c r="H12" i="4"/>
  <c r="L48" i="3"/>
  <c r="K48" i="3"/>
  <c r="J48" i="3"/>
  <c r="I19" i="3"/>
  <c r="J19" i="3"/>
  <c r="K19" i="3"/>
  <c r="I20" i="3"/>
  <c r="N20" i="3" s="1"/>
  <c r="J20" i="3"/>
  <c r="K20" i="3"/>
  <c r="I21" i="3"/>
  <c r="J21" i="3"/>
  <c r="K21" i="3"/>
  <c r="I22" i="3"/>
  <c r="J22" i="3"/>
  <c r="K22" i="3"/>
  <c r="I23" i="3"/>
  <c r="J23" i="3"/>
  <c r="K23" i="3"/>
  <c r="I24" i="3"/>
  <c r="N24" i="3" s="1"/>
  <c r="J24" i="3"/>
  <c r="K24" i="3"/>
  <c r="I25" i="3"/>
  <c r="J25" i="3"/>
  <c r="K25" i="3"/>
  <c r="I26" i="3"/>
  <c r="J26" i="3"/>
  <c r="K26" i="3"/>
  <c r="I27" i="3"/>
  <c r="J27" i="3"/>
  <c r="K27" i="3"/>
  <c r="I28" i="3"/>
  <c r="N28" i="3" s="1"/>
  <c r="J28" i="3"/>
  <c r="K28" i="3"/>
  <c r="I29" i="3"/>
  <c r="J29" i="3"/>
  <c r="K29" i="3"/>
  <c r="I30" i="3"/>
  <c r="J30" i="3"/>
  <c r="K30" i="3"/>
  <c r="I31" i="3"/>
  <c r="J31" i="3"/>
  <c r="K31" i="3"/>
  <c r="I32" i="3"/>
  <c r="N32" i="3" s="1"/>
  <c r="J32" i="3"/>
  <c r="K32" i="3"/>
  <c r="I33" i="3"/>
  <c r="J33" i="3"/>
  <c r="K33" i="3"/>
  <c r="I34" i="3"/>
  <c r="J34" i="3"/>
  <c r="K34" i="3"/>
  <c r="I35" i="3"/>
  <c r="J35" i="3"/>
  <c r="K35" i="3"/>
  <c r="I36" i="3"/>
  <c r="N36" i="3" s="1"/>
  <c r="J36" i="3"/>
  <c r="K36" i="3"/>
  <c r="I37" i="3"/>
  <c r="J37" i="3"/>
  <c r="K37" i="3"/>
  <c r="I38" i="3"/>
  <c r="J38" i="3"/>
  <c r="K38" i="3"/>
  <c r="I39" i="3"/>
  <c r="J39" i="3"/>
  <c r="K39" i="3"/>
  <c r="K18" i="3"/>
  <c r="J18" i="3"/>
  <c r="I18" i="3"/>
  <c r="U53" i="3"/>
  <c r="U57" i="3"/>
  <c r="U61" i="3"/>
  <c r="AP148" i="11"/>
  <c r="O50" i="3"/>
  <c r="U50" i="3" s="1"/>
  <c r="O54" i="3"/>
  <c r="U54" i="3" s="1"/>
  <c r="O58" i="3"/>
  <c r="U58" i="3" s="1"/>
  <c r="O62" i="3"/>
  <c r="U62" i="3" s="1"/>
  <c r="O66" i="3"/>
  <c r="U66" i="3" s="1"/>
  <c r="O51" i="3"/>
  <c r="U51" i="3" s="1"/>
  <c r="O52" i="3"/>
  <c r="U52" i="3" s="1"/>
  <c r="O53" i="3"/>
  <c r="O55" i="3"/>
  <c r="U55" i="3" s="1"/>
  <c r="O56" i="3"/>
  <c r="U56" i="3" s="1"/>
  <c r="O57" i="3"/>
  <c r="O59" i="3"/>
  <c r="U59" i="3" s="1"/>
  <c r="O60" i="3"/>
  <c r="U60" i="3" s="1"/>
  <c r="O61" i="3"/>
  <c r="O63" i="3"/>
  <c r="U63" i="3" s="1"/>
  <c r="O64" i="3"/>
  <c r="U64" i="3" s="1"/>
  <c r="O65" i="3"/>
  <c r="U65" i="3" s="1"/>
  <c r="O67" i="3"/>
  <c r="U67" i="3" s="1"/>
  <c r="N39" i="3"/>
  <c r="N38" i="3"/>
  <c r="N37" i="3"/>
  <c r="N35" i="3"/>
  <c r="N34" i="3"/>
  <c r="N33" i="3"/>
  <c r="N31" i="3"/>
  <c r="N30" i="3"/>
  <c r="N29" i="3"/>
  <c r="N27" i="3"/>
  <c r="N26" i="3"/>
  <c r="N25" i="3"/>
  <c r="N23" i="3"/>
  <c r="N22" i="3"/>
  <c r="N21" i="3"/>
  <c r="F22" i="8" l="1"/>
  <c r="F23" i="8"/>
  <c r="F24" i="8"/>
  <c r="F25" i="8"/>
  <c r="F26" i="8"/>
  <c r="F21" i="8"/>
  <c r="F11" i="8"/>
  <c r="F12" i="8"/>
  <c r="F13" i="8"/>
  <c r="F14" i="8"/>
  <c r="F10" i="8"/>
  <c r="E76" i="10" l="1"/>
  <c r="E77" i="10"/>
  <c r="E78" i="10"/>
  <c r="E79" i="10"/>
  <c r="E80" i="10"/>
  <c r="E81" i="10"/>
  <c r="E82" i="10"/>
  <c r="E83" i="10"/>
  <c r="E84" i="10"/>
  <c r="E85" i="10"/>
  <c r="E86" i="10"/>
  <c r="E87" i="10"/>
  <c r="E88" i="10"/>
  <c r="E89" i="10"/>
  <c r="E90" i="10"/>
  <c r="E91" i="10"/>
  <c r="E92" i="10"/>
  <c r="E93" i="10"/>
  <c r="E94" i="10"/>
  <c r="E95" i="10"/>
  <c r="E96" i="10"/>
  <c r="E97" i="10"/>
  <c r="E98" i="10"/>
  <c r="E99" i="10"/>
  <c r="E100"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274" i="10"/>
  <c r="E275" i="10"/>
  <c r="E276" i="10"/>
  <c r="E277" i="10"/>
  <c r="E278"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F15" i="5"/>
  <c r="F16" i="5"/>
  <c r="F17" i="5"/>
  <c r="F18" i="5"/>
  <c r="F19" i="5"/>
  <c r="F20" i="5"/>
  <c r="F21" i="5"/>
  <c r="F22" i="5"/>
  <c r="F23" i="5"/>
  <c r="F24" i="5"/>
  <c r="F25" i="5"/>
  <c r="F26" i="5"/>
  <c r="F27" i="5"/>
  <c r="F28" i="5"/>
  <c r="F29" i="5"/>
  <c r="F30" i="5"/>
  <c r="F31" i="5"/>
  <c r="F32" i="5"/>
  <c r="F33" i="5"/>
  <c r="F34" i="5"/>
  <c r="F35" i="5"/>
  <c r="F14" i="5"/>
  <c r="C663" i="11" l="1"/>
  <c r="C664" i="11"/>
  <c r="E74" i="10" s="1"/>
  <c r="C665" i="11"/>
  <c r="C666" i="11"/>
  <c r="D666" i="11" s="1"/>
  <c r="C667" i="11"/>
  <c r="D667" i="11" s="1"/>
  <c r="C668" i="11"/>
  <c r="D668" i="11" s="1"/>
  <c r="C669" i="11"/>
  <c r="D669" i="11" s="1"/>
  <c r="C670" i="11"/>
  <c r="D670" i="11"/>
  <c r="C671" i="11"/>
  <c r="D671" i="11" s="1"/>
  <c r="C672" i="11"/>
  <c r="D672" i="11"/>
  <c r="C673" i="11"/>
  <c r="D673" i="11" s="1"/>
  <c r="C674" i="11"/>
  <c r="D674" i="11" s="1"/>
  <c r="C675" i="11"/>
  <c r="D675" i="11" s="1"/>
  <c r="C676" i="11"/>
  <c r="D676" i="11" s="1"/>
  <c r="C677" i="11"/>
  <c r="D677" i="11" s="1"/>
  <c r="C678" i="11"/>
  <c r="D678" i="11"/>
  <c r="C679" i="11"/>
  <c r="D679" i="11" s="1"/>
  <c r="C680" i="11"/>
  <c r="D680" i="11"/>
  <c r="C681" i="11"/>
  <c r="D681" i="11" s="1"/>
  <c r="C682" i="11"/>
  <c r="D682" i="11" s="1"/>
  <c r="C683" i="11"/>
  <c r="D683" i="11" s="1"/>
  <c r="C684" i="11"/>
  <c r="D684" i="11" s="1"/>
  <c r="C685" i="11"/>
  <c r="D685" i="11" s="1"/>
  <c r="C686" i="11"/>
  <c r="D686" i="11"/>
  <c r="C687" i="11"/>
  <c r="D687" i="11" s="1"/>
  <c r="C688" i="11"/>
  <c r="D688" i="11"/>
  <c r="C689" i="11"/>
  <c r="D689" i="11" s="1"/>
  <c r="C690" i="11"/>
  <c r="D690" i="11" s="1"/>
  <c r="C691" i="11"/>
  <c r="C692" i="11"/>
  <c r="D692" i="11" s="1"/>
  <c r="C693" i="11"/>
  <c r="D693" i="11" s="1"/>
  <c r="C694" i="11"/>
  <c r="D694" i="11"/>
  <c r="C695" i="11"/>
  <c r="D695" i="11" s="1"/>
  <c r="C696" i="11"/>
  <c r="D696" i="11"/>
  <c r="C697" i="11"/>
  <c r="D697" i="11" s="1"/>
  <c r="C698" i="11"/>
  <c r="D698" i="11" s="1"/>
  <c r="C699" i="11"/>
  <c r="D699" i="11" s="1"/>
  <c r="C700" i="11"/>
  <c r="D700" i="11" s="1"/>
  <c r="C701" i="11"/>
  <c r="D701" i="11" s="1"/>
  <c r="C702" i="11"/>
  <c r="D702" i="11"/>
  <c r="C703" i="11"/>
  <c r="D703" i="11" s="1"/>
  <c r="C704" i="11"/>
  <c r="D704" i="11"/>
  <c r="C705" i="11"/>
  <c r="D705" i="11" s="1"/>
  <c r="C706" i="11"/>
  <c r="D706" i="11" s="1"/>
  <c r="C707" i="11"/>
  <c r="D707" i="11" s="1"/>
  <c r="C708" i="11"/>
  <c r="D708" i="11" s="1"/>
  <c r="C709" i="11"/>
  <c r="D709" i="11" s="1"/>
  <c r="C710" i="11"/>
  <c r="D710" i="11"/>
  <c r="C711" i="11"/>
  <c r="D711" i="11" s="1"/>
  <c r="C712" i="11"/>
  <c r="D712" i="11"/>
  <c r="C713" i="11"/>
  <c r="D713" i="11" s="1"/>
  <c r="C714" i="11"/>
  <c r="D714" i="11" s="1"/>
  <c r="C715" i="11"/>
  <c r="D715" i="11" s="1"/>
  <c r="C716" i="11"/>
  <c r="D716" i="11" s="1"/>
  <c r="C717" i="11"/>
  <c r="D717" i="11" s="1"/>
  <c r="C718" i="11"/>
  <c r="D718" i="11"/>
  <c r="C719" i="11"/>
  <c r="D719" i="11" s="1"/>
  <c r="C720" i="11"/>
  <c r="D720" i="11"/>
  <c r="C721" i="11"/>
  <c r="D721" i="11" s="1"/>
  <c r="C722" i="11"/>
  <c r="D722" i="11" s="1"/>
  <c r="C723" i="11"/>
  <c r="D723" i="11" s="1"/>
  <c r="C724" i="11"/>
  <c r="D724" i="11" s="1"/>
  <c r="C725" i="11"/>
  <c r="D725" i="11" s="1"/>
  <c r="C726" i="11"/>
  <c r="D726" i="11"/>
  <c r="C727" i="11"/>
  <c r="D727" i="11" s="1"/>
  <c r="C728" i="11"/>
  <c r="D728" i="11"/>
  <c r="C729" i="11"/>
  <c r="D729" i="11" s="1"/>
  <c r="C730" i="11"/>
  <c r="D730" i="11" s="1"/>
  <c r="C731" i="11"/>
  <c r="D731" i="11" s="1"/>
  <c r="C732" i="11"/>
  <c r="D732" i="11" s="1"/>
  <c r="C733" i="11"/>
  <c r="D733" i="11" s="1"/>
  <c r="C734" i="11"/>
  <c r="D734" i="11"/>
  <c r="C735" i="11"/>
  <c r="D735" i="11" s="1"/>
  <c r="C736" i="11"/>
  <c r="D736" i="11"/>
  <c r="C737" i="11"/>
  <c r="D737" i="11" s="1"/>
  <c r="C738" i="11"/>
  <c r="D738" i="11" s="1"/>
  <c r="C739" i="11"/>
  <c r="D739" i="11" s="1"/>
  <c r="C740" i="11"/>
  <c r="D740" i="11" s="1"/>
  <c r="C741" i="11"/>
  <c r="D741" i="11" s="1"/>
  <c r="C742" i="11"/>
  <c r="D742" i="11"/>
  <c r="C743" i="11"/>
  <c r="D743" i="11" s="1"/>
  <c r="C744" i="11"/>
  <c r="D744" i="11"/>
  <c r="C745" i="11"/>
  <c r="D745" i="11" s="1"/>
  <c r="C746" i="11"/>
  <c r="D746" i="11" s="1"/>
  <c r="C747" i="11"/>
  <c r="D747" i="11" s="1"/>
  <c r="C748" i="11"/>
  <c r="D748" i="11" s="1"/>
  <c r="C749" i="11"/>
  <c r="D749" i="11" s="1"/>
  <c r="C750" i="11"/>
  <c r="D750" i="11" s="1"/>
  <c r="C751" i="11"/>
  <c r="D751" i="11" s="1"/>
  <c r="C752" i="11"/>
  <c r="D752" i="11"/>
  <c r="C753" i="11"/>
  <c r="D753" i="11" s="1"/>
  <c r="C754" i="11"/>
  <c r="D754" i="11" s="1"/>
  <c r="C755" i="11"/>
  <c r="D755" i="11" s="1"/>
  <c r="C756" i="11"/>
  <c r="D756" i="11" s="1"/>
  <c r="C757" i="11"/>
  <c r="D757" i="11" s="1"/>
  <c r="C758" i="11"/>
  <c r="D758" i="11"/>
  <c r="C759" i="11"/>
  <c r="D759" i="11" s="1"/>
  <c r="C760" i="11"/>
  <c r="D760" i="11" s="1"/>
  <c r="C761" i="11"/>
  <c r="D761" i="11" s="1"/>
  <c r="C762" i="11"/>
  <c r="D762" i="11" s="1"/>
  <c r="C763" i="11"/>
  <c r="D763" i="11" s="1"/>
  <c r="C764" i="11"/>
  <c r="D764" i="11"/>
  <c r="C765" i="11"/>
  <c r="D765" i="11" s="1"/>
  <c r="C766" i="11"/>
  <c r="D766" i="11" s="1"/>
  <c r="C767" i="11"/>
  <c r="D767" i="11" s="1"/>
  <c r="C768" i="11"/>
  <c r="D768" i="11" s="1"/>
  <c r="C769" i="11"/>
  <c r="D769" i="11" s="1"/>
  <c r="C770" i="11"/>
  <c r="D770" i="11" s="1"/>
  <c r="C771" i="11"/>
  <c r="D771" i="11" s="1"/>
  <c r="C772" i="11"/>
  <c r="D772" i="11" s="1"/>
  <c r="C773" i="11"/>
  <c r="D773" i="11" s="1"/>
  <c r="C774" i="11"/>
  <c r="D774" i="11" s="1"/>
  <c r="C775" i="11"/>
  <c r="D775" i="11" s="1"/>
  <c r="C776" i="11"/>
  <c r="D776" i="11"/>
  <c r="C777" i="11"/>
  <c r="D777" i="11" s="1"/>
  <c r="C778" i="11"/>
  <c r="D778" i="11" s="1"/>
  <c r="C779" i="11"/>
  <c r="D779" i="11" s="1"/>
  <c r="C780" i="11"/>
  <c r="D780" i="11" s="1"/>
  <c r="C781" i="11"/>
  <c r="D781" i="11" s="1"/>
  <c r="C782" i="11"/>
  <c r="D782" i="11"/>
  <c r="C783" i="11"/>
  <c r="D783" i="11" s="1"/>
  <c r="C784" i="11"/>
  <c r="D784" i="11"/>
  <c r="C785" i="11"/>
  <c r="D785" i="11" s="1"/>
  <c r="C786" i="11"/>
  <c r="D786" i="11" s="1"/>
  <c r="C787" i="11"/>
  <c r="D787" i="11" s="1"/>
  <c r="C788" i="11"/>
  <c r="D788" i="11"/>
  <c r="C789" i="11"/>
  <c r="D789" i="11" s="1"/>
  <c r="C790" i="11"/>
  <c r="D790" i="11"/>
  <c r="C791" i="11"/>
  <c r="D791" i="11" s="1"/>
  <c r="C792" i="11"/>
  <c r="D792" i="11" s="1"/>
  <c r="C793" i="11"/>
  <c r="D793" i="11" s="1"/>
  <c r="C794" i="11"/>
  <c r="D794" i="11" s="1"/>
  <c r="C795" i="11"/>
  <c r="D795" i="11" s="1"/>
  <c r="C796" i="11"/>
  <c r="D796" i="11"/>
  <c r="C797" i="11"/>
  <c r="D797" i="11" s="1"/>
  <c r="C798" i="11"/>
  <c r="D798" i="11" s="1"/>
  <c r="C799" i="11"/>
  <c r="D799" i="11" s="1"/>
  <c r="C800" i="11"/>
  <c r="D800" i="11" s="1"/>
  <c r="C801" i="11"/>
  <c r="D801" i="11" s="1"/>
  <c r="C802" i="11"/>
  <c r="D802" i="11" s="1"/>
  <c r="C803" i="11"/>
  <c r="D803" i="11" s="1"/>
  <c r="C804" i="11"/>
  <c r="D804" i="11" s="1"/>
  <c r="C805" i="11"/>
  <c r="D805" i="11" s="1"/>
  <c r="C806" i="11"/>
  <c r="D806" i="11" s="1"/>
  <c r="C807" i="11"/>
  <c r="D807" i="11" s="1"/>
  <c r="C808" i="11"/>
  <c r="D808" i="11" s="1"/>
  <c r="C809" i="11"/>
  <c r="D809" i="11" s="1"/>
  <c r="C810" i="11"/>
  <c r="D810" i="11" s="1"/>
  <c r="C811" i="11"/>
  <c r="D811" i="11" s="1"/>
  <c r="C812" i="11"/>
  <c r="D812" i="11" s="1"/>
  <c r="C813" i="11"/>
  <c r="D813" i="11" s="1"/>
  <c r="C814" i="11"/>
  <c r="D814" i="11" s="1"/>
  <c r="C815" i="11"/>
  <c r="D815" i="11" s="1"/>
  <c r="C816" i="11"/>
  <c r="D816" i="11"/>
  <c r="C817" i="11"/>
  <c r="D817" i="11" s="1"/>
  <c r="C818" i="11"/>
  <c r="D818" i="11" s="1"/>
  <c r="C819" i="11"/>
  <c r="D819" i="11" s="1"/>
  <c r="C820" i="11"/>
  <c r="D820" i="11" s="1"/>
  <c r="C821" i="11"/>
  <c r="D821" i="11" s="1"/>
  <c r="C822" i="11"/>
  <c r="D822" i="11"/>
  <c r="C823" i="11"/>
  <c r="D823" i="11" s="1"/>
  <c r="C824" i="11"/>
  <c r="D824" i="11" s="1"/>
  <c r="C825" i="11"/>
  <c r="D825" i="11" s="1"/>
  <c r="C826" i="11"/>
  <c r="D826" i="11" s="1"/>
  <c r="C827" i="11"/>
  <c r="D827" i="11" s="1"/>
  <c r="C828" i="11"/>
  <c r="D828" i="11"/>
  <c r="C829" i="11"/>
  <c r="D829" i="11" s="1"/>
  <c r="C830" i="11"/>
  <c r="D830" i="11" s="1"/>
  <c r="C831" i="11"/>
  <c r="D831" i="11" s="1"/>
  <c r="C832" i="11"/>
  <c r="D832" i="11" s="1"/>
  <c r="C833" i="11"/>
  <c r="D833" i="11"/>
  <c r="C834" i="11"/>
  <c r="D834" i="11" s="1"/>
  <c r="C835" i="11"/>
  <c r="D835" i="11"/>
  <c r="C836" i="11"/>
  <c r="D836" i="11" s="1"/>
  <c r="C837" i="11"/>
  <c r="D837" i="11"/>
  <c r="C838" i="11"/>
  <c r="D838" i="11" s="1"/>
  <c r="C839" i="11"/>
  <c r="D839" i="11"/>
  <c r="C840" i="11"/>
  <c r="D840" i="11" s="1"/>
  <c r="C841" i="11"/>
  <c r="D841" i="11"/>
  <c r="C842" i="11"/>
  <c r="D842" i="11"/>
  <c r="C843" i="11"/>
  <c r="D843" i="11"/>
  <c r="C844" i="11"/>
  <c r="D844" i="11"/>
  <c r="C845" i="11"/>
  <c r="D845" i="11" s="1"/>
  <c r="C846" i="11"/>
  <c r="D846" i="11"/>
  <c r="C847" i="11"/>
  <c r="D847" i="11" s="1"/>
  <c r="C848" i="11"/>
  <c r="D848" i="11"/>
  <c r="C849" i="11"/>
  <c r="D849" i="11" s="1"/>
  <c r="C850" i="11"/>
  <c r="D850" i="11"/>
  <c r="C851" i="11"/>
  <c r="D851" i="11" s="1"/>
  <c r="C852" i="11"/>
  <c r="D852" i="11"/>
  <c r="C853" i="11"/>
  <c r="D853" i="11" s="1"/>
  <c r="C854" i="11"/>
  <c r="D854" i="11"/>
  <c r="C855" i="11"/>
  <c r="D855" i="11" s="1"/>
  <c r="C856" i="11"/>
  <c r="D856" i="11"/>
  <c r="C857" i="11"/>
  <c r="D857" i="11" s="1"/>
  <c r="C858" i="11"/>
  <c r="D858" i="11"/>
  <c r="C859" i="11"/>
  <c r="D859" i="11" s="1"/>
  <c r="C860" i="11"/>
  <c r="D860" i="11"/>
  <c r="C861" i="11"/>
  <c r="D861" i="11" s="1"/>
  <c r="C862" i="11"/>
  <c r="D862" i="11"/>
  <c r="C863" i="11"/>
  <c r="D863" i="11" s="1"/>
  <c r="C864" i="11"/>
  <c r="D864" i="11"/>
  <c r="C865" i="11"/>
  <c r="D865" i="11" s="1"/>
  <c r="C866" i="11"/>
  <c r="D866" i="11"/>
  <c r="C867" i="11"/>
  <c r="D867" i="11" s="1"/>
  <c r="C868" i="11"/>
  <c r="D868" i="11"/>
  <c r="C869" i="11"/>
  <c r="D869" i="11" s="1"/>
  <c r="C870" i="11"/>
  <c r="D870" i="11"/>
  <c r="C871" i="11"/>
  <c r="D871" i="11" s="1"/>
  <c r="C872" i="11"/>
  <c r="D872" i="11"/>
  <c r="C873" i="11"/>
  <c r="D873" i="11" s="1"/>
  <c r="C874" i="11"/>
  <c r="D874" i="11"/>
  <c r="C875" i="11"/>
  <c r="D875" i="11" s="1"/>
  <c r="C876" i="11"/>
  <c r="D876" i="11"/>
  <c r="C877" i="11"/>
  <c r="D877" i="11" s="1"/>
  <c r="C878" i="11"/>
  <c r="D878" i="11"/>
  <c r="C879" i="11"/>
  <c r="D879" i="11" s="1"/>
  <c r="C880" i="11"/>
  <c r="D880" i="11"/>
  <c r="C881" i="11"/>
  <c r="D881" i="11" s="1"/>
  <c r="C882" i="11"/>
  <c r="D882" i="11"/>
  <c r="C883" i="11"/>
  <c r="D883" i="11" s="1"/>
  <c r="C884" i="11"/>
  <c r="D884" i="11"/>
  <c r="C885" i="11"/>
  <c r="D885" i="11" s="1"/>
  <c r="C886" i="11"/>
  <c r="D886" i="11"/>
  <c r="C887" i="11"/>
  <c r="D887" i="11" s="1"/>
  <c r="C888" i="11"/>
  <c r="D888" i="11"/>
  <c r="C889" i="11"/>
  <c r="D889" i="11" s="1"/>
  <c r="C890" i="11"/>
  <c r="D890" i="11"/>
  <c r="C891" i="11"/>
  <c r="D891" i="11" s="1"/>
  <c r="C892" i="11"/>
  <c r="D892" i="11"/>
  <c r="C893" i="11"/>
  <c r="D893" i="11" s="1"/>
  <c r="C894" i="11"/>
  <c r="D894" i="11"/>
  <c r="C895" i="11"/>
  <c r="D895" i="11" s="1"/>
  <c r="C896" i="11"/>
  <c r="D896" i="11"/>
  <c r="C897" i="11"/>
  <c r="D897" i="11" s="1"/>
  <c r="C898" i="11"/>
  <c r="D898" i="11"/>
  <c r="C899" i="11"/>
  <c r="D899" i="11" s="1"/>
  <c r="C900" i="11"/>
  <c r="D900" i="11"/>
  <c r="C901" i="11"/>
  <c r="D901" i="11" s="1"/>
  <c r="C902" i="11"/>
  <c r="D902" i="11"/>
  <c r="C903" i="11"/>
  <c r="D903" i="11" s="1"/>
  <c r="C904" i="11"/>
  <c r="D904" i="11"/>
  <c r="C905" i="11"/>
  <c r="D905" i="11" s="1"/>
  <c r="C906" i="11"/>
  <c r="D906" i="11"/>
  <c r="C907" i="11"/>
  <c r="D907" i="11" s="1"/>
  <c r="C908" i="11"/>
  <c r="D908" i="11"/>
  <c r="C909" i="11"/>
  <c r="D909" i="11" s="1"/>
  <c r="C910" i="11"/>
  <c r="D910" i="11"/>
  <c r="C911" i="11"/>
  <c r="D911" i="11" s="1"/>
  <c r="C662" i="11"/>
  <c r="F13" i="4"/>
  <c r="F14" i="4"/>
  <c r="F15" i="4"/>
  <c r="F16" i="4"/>
  <c r="F17" i="4"/>
  <c r="F18" i="4"/>
  <c r="F19" i="4"/>
  <c r="F20" i="4"/>
  <c r="F21" i="4"/>
  <c r="F22" i="4"/>
  <c r="F23" i="4"/>
  <c r="F24" i="4"/>
  <c r="F25" i="4"/>
  <c r="F26" i="4"/>
  <c r="F27" i="4"/>
  <c r="F28" i="4"/>
  <c r="F29" i="4"/>
  <c r="F30" i="4"/>
  <c r="F31" i="4"/>
  <c r="F32" i="4"/>
  <c r="F33" i="4"/>
  <c r="F12" i="4"/>
  <c r="F49" i="3"/>
  <c r="F50" i="3"/>
  <c r="F51" i="3"/>
  <c r="F52" i="3"/>
  <c r="F53" i="3"/>
  <c r="F54" i="3"/>
  <c r="F55" i="3"/>
  <c r="F56" i="3"/>
  <c r="F57" i="3"/>
  <c r="F58" i="3"/>
  <c r="F59" i="3"/>
  <c r="F60" i="3"/>
  <c r="F61" i="3"/>
  <c r="F62" i="3"/>
  <c r="F63" i="3"/>
  <c r="F64" i="3"/>
  <c r="F65" i="3"/>
  <c r="F66" i="3"/>
  <c r="F67" i="3"/>
  <c r="F48" i="3"/>
  <c r="F19" i="3"/>
  <c r="F20" i="3"/>
  <c r="F21" i="3"/>
  <c r="F22" i="3"/>
  <c r="F23" i="3"/>
  <c r="F24" i="3"/>
  <c r="F25" i="3"/>
  <c r="F26" i="3"/>
  <c r="F27" i="3"/>
  <c r="F28" i="3"/>
  <c r="F29" i="3"/>
  <c r="F30" i="3"/>
  <c r="F31" i="3"/>
  <c r="F32" i="3"/>
  <c r="F33" i="3"/>
  <c r="F34" i="3"/>
  <c r="F35" i="3"/>
  <c r="F36" i="3"/>
  <c r="F37" i="3"/>
  <c r="F38" i="3"/>
  <c r="F39" i="3"/>
  <c r="F18" i="3"/>
  <c r="D691" i="11" l="1"/>
  <c r="E101" i="10"/>
  <c r="D663" i="11"/>
  <c r="E73" i="10"/>
  <c r="D665" i="11"/>
  <c r="E75" i="10"/>
  <c r="D664" i="11"/>
  <c r="D662" i="11"/>
  <c r="E662" i="11" s="1"/>
  <c r="E72" i="9" s="1"/>
  <c r="E72" i="10"/>
  <c r="P652" i="11"/>
  <c r="N72" i="9" l="1"/>
  <c r="E663" i="11"/>
  <c r="E664" i="11" s="1"/>
  <c r="E74" i="9" s="1"/>
  <c r="E73" i="9" l="1"/>
  <c r="N73" i="9" s="1"/>
  <c r="E665" i="11"/>
  <c r="E75" i="9" s="1"/>
  <c r="D16" i="6"/>
  <c r="D15" i="7"/>
  <c r="N74" i="9" l="1"/>
  <c r="N75" i="9" s="1"/>
  <c r="E666" i="11"/>
  <c r="AP149" i="11"/>
  <c r="AP150" i="11"/>
  <c r="AP151" i="11"/>
  <c r="AP152" i="11"/>
  <c r="AP153" i="11"/>
  <c r="AP154" i="11"/>
  <c r="AP155" i="11"/>
  <c r="AP156" i="11"/>
  <c r="AP157" i="11"/>
  <c r="AP158" i="11"/>
  <c r="AP159" i="11"/>
  <c r="AP160" i="11"/>
  <c r="AP161" i="11"/>
  <c r="AP162" i="11"/>
  <c r="AP163" i="11"/>
  <c r="AP164" i="11"/>
  <c r="AP165" i="11"/>
  <c r="AP166" i="11"/>
  <c r="AP167" i="11"/>
  <c r="S149" i="11"/>
  <c r="S150" i="11"/>
  <c r="S151" i="11"/>
  <c r="S152" i="11"/>
  <c r="S153" i="11"/>
  <c r="S154" i="11"/>
  <c r="S155" i="11"/>
  <c r="S156" i="11"/>
  <c r="S157" i="11"/>
  <c r="S158" i="11"/>
  <c r="S159" i="11"/>
  <c r="S160" i="11"/>
  <c r="S161" i="11"/>
  <c r="S162" i="11"/>
  <c r="S163" i="11"/>
  <c r="S164" i="11"/>
  <c r="S165" i="11"/>
  <c r="S166" i="11"/>
  <c r="S167" i="11"/>
  <c r="S148" i="11"/>
  <c r="AA162" i="11"/>
  <c r="AD162" i="11" s="1"/>
  <c r="AA161" i="11"/>
  <c r="AA163" i="11"/>
  <c r="AD161" i="11"/>
  <c r="AA165" i="11"/>
  <c r="AE165" i="11" s="1"/>
  <c r="AE148" i="11"/>
  <c r="AE124" i="11"/>
  <c r="AE122" i="11"/>
  <c r="AC133" i="11"/>
  <c r="AC136" i="11" s="1"/>
  <c r="AC137" i="11"/>
  <c r="AC139" i="11" s="1"/>
  <c r="AC138" i="11"/>
  <c r="AC132" i="11"/>
  <c r="AB132" i="11"/>
  <c r="AD132" i="11" s="1"/>
  <c r="AC131" i="11"/>
  <c r="AB131" i="11"/>
  <c r="AB133" i="11" s="1"/>
  <c r="AC126" i="11"/>
  <c r="AB126" i="11"/>
  <c r="AD126" i="11" s="1"/>
  <c r="AC125" i="11"/>
  <c r="AB125" i="11"/>
  <c r="AC129" i="11"/>
  <c r="AC130" i="11"/>
  <c r="AC128" i="11"/>
  <c r="AB130" i="11"/>
  <c r="AD130" i="11" s="1"/>
  <c r="AB129" i="11"/>
  <c r="AB128" i="11"/>
  <c r="AD128" i="11" s="1"/>
  <c r="AB127" i="11"/>
  <c r="AA138" i="11"/>
  <c r="AA139" i="11"/>
  <c r="AE139" i="11" s="1"/>
  <c r="AA140" i="11"/>
  <c r="AA141" i="11"/>
  <c r="AA137" i="11"/>
  <c r="AE137" i="11" s="1"/>
  <c r="AA134" i="11"/>
  <c r="AA135" i="11"/>
  <c r="AA136" i="11"/>
  <c r="AE136" i="11" s="1"/>
  <c r="AA133" i="11"/>
  <c r="AE133" i="11" s="1"/>
  <c r="AA132" i="11"/>
  <c r="AE132" i="11" s="1"/>
  <c r="AA131" i="11"/>
  <c r="AE131" i="11" s="1"/>
  <c r="AA130" i="11"/>
  <c r="AE130" i="11" s="1"/>
  <c r="AA129" i="11"/>
  <c r="AD129" i="11" s="1"/>
  <c r="AA128" i="11"/>
  <c r="AE128" i="11" s="1"/>
  <c r="AA127" i="11"/>
  <c r="AD127" i="11" s="1"/>
  <c r="AA126" i="11"/>
  <c r="AE126" i="11" s="1"/>
  <c r="AA125" i="11"/>
  <c r="AE125" i="11" s="1"/>
  <c r="AA124" i="11"/>
  <c r="AD124" i="11" s="1"/>
  <c r="AA120" i="11"/>
  <c r="AE120" i="11" s="1"/>
  <c r="AC124" i="11"/>
  <c r="AB124" i="11"/>
  <c r="AC123" i="11"/>
  <c r="AE123" i="11" s="1"/>
  <c r="AB123" i="11"/>
  <c r="AD123" i="11" s="1"/>
  <c r="AC122" i="11"/>
  <c r="AB122" i="11"/>
  <c r="AD122" i="11" s="1"/>
  <c r="AC120" i="11"/>
  <c r="AB120" i="11"/>
  <c r="AC165" i="11"/>
  <c r="AB165" i="11"/>
  <c r="AD165" i="11" s="1"/>
  <c r="AC127" i="11"/>
  <c r="AC121" i="11"/>
  <c r="AE121" i="11" s="1"/>
  <c r="AB121" i="11"/>
  <c r="AD121" i="11" s="1"/>
  <c r="AB119" i="11"/>
  <c r="AC150" i="11"/>
  <c r="AB150" i="11"/>
  <c r="AD150" i="11" s="1"/>
  <c r="AA150" i="11"/>
  <c r="AE150" i="11" s="1"/>
  <c r="AC119" i="11"/>
  <c r="AE119" i="11" s="1"/>
  <c r="AA119" i="11"/>
  <c r="AD119" i="11" s="1"/>
  <c r="AC163" i="11"/>
  <c r="AB163" i="11"/>
  <c r="AC162" i="11"/>
  <c r="AB162" i="11"/>
  <c r="AC161" i="11"/>
  <c r="AB161" i="11"/>
  <c r="Z152" i="11"/>
  <c r="Z153" i="11"/>
  <c r="AA153" i="11"/>
  <c r="Z154" i="11"/>
  <c r="AE154" i="11" s="1"/>
  <c r="AA154" i="11"/>
  <c r="Z151" i="11"/>
  <c r="AC148" i="11"/>
  <c r="AC151" i="11" s="1"/>
  <c r="AC154" i="11" s="1"/>
  <c r="AB148" i="11"/>
  <c r="AB151" i="11" s="1"/>
  <c r="AB153" i="11" s="1"/>
  <c r="AA148" i="11"/>
  <c r="AA152" i="11" s="1"/>
  <c r="Z156" i="11"/>
  <c r="Z157" i="11"/>
  <c r="AE157" i="11" s="1"/>
  <c r="Z158" i="11"/>
  <c r="Z159" i="11"/>
  <c r="AC155" i="11"/>
  <c r="AC157" i="11" s="1"/>
  <c r="Z155" i="11"/>
  <c r="AC149" i="11"/>
  <c r="AB149" i="11"/>
  <c r="AB155" i="11" s="1"/>
  <c r="AB159" i="11" s="1"/>
  <c r="AA149" i="11"/>
  <c r="AA157" i="11" s="1"/>
  <c r="AB135" i="11" l="1"/>
  <c r="AD135" i="11" s="1"/>
  <c r="AB134" i="11"/>
  <c r="AD134" i="11" s="1"/>
  <c r="AB136" i="11"/>
  <c r="AD136" i="11" s="1"/>
  <c r="AD153" i="11"/>
  <c r="AD137" i="11"/>
  <c r="AD133" i="11"/>
  <c r="AE163" i="11"/>
  <c r="AC135" i="11"/>
  <c r="AE135" i="11" s="1"/>
  <c r="AC141" i="11"/>
  <c r="AE141" i="11" s="1"/>
  <c r="AB137" i="11"/>
  <c r="AD120" i="11"/>
  <c r="AD125" i="11"/>
  <c r="AE129" i="11"/>
  <c r="AE127" i="11"/>
  <c r="AD131" i="11"/>
  <c r="AE140" i="11"/>
  <c r="AE138" i="11"/>
  <c r="AE149" i="11"/>
  <c r="AE161" i="11"/>
  <c r="E667" i="11"/>
  <c r="E77" i="9" s="1"/>
  <c r="E76" i="9"/>
  <c r="N76" i="9" s="1"/>
  <c r="AD149" i="11"/>
  <c r="AC134" i="11"/>
  <c r="AE134" i="11" s="1"/>
  <c r="AC140" i="11"/>
  <c r="AD148" i="11"/>
  <c r="AD163" i="11"/>
  <c r="AE162" i="11"/>
  <c r="AA158" i="11"/>
  <c r="AE158" i="11" s="1"/>
  <c r="AA156" i="11"/>
  <c r="AE156" i="11" s="1"/>
  <c r="AA151" i="11"/>
  <c r="AE151" i="11" s="1"/>
  <c r="AA155" i="11"/>
  <c r="AD155" i="11" s="1"/>
  <c r="AA159" i="11"/>
  <c r="AD159" i="11" s="1"/>
  <c r="AC152" i="11"/>
  <c r="AE152" i="11" s="1"/>
  <c r="AC153" i="11"/>
  <c r="AE153" i="11" s="1"/>
  <c r="AB152" i="11"/>
  <c r="AD152" i="11" s="1"/>
  <c r="AC156" i="11"/>
  <c r="AB154" i="11"/>
  <c r="AD154" i="11" s="1"/>
  <c r="AB156" i="11"/>
  <c r="AC159" i="11"/>
  <c r="AB158" i="11"/>
  <c r="AD158" i="11" s="1"/>
  <c r="AB157" i="11"/>
  <c r="AD157" i="11" s="1"/>
  <c r="AC158" i="11"/>
  <c r="AD156" i="11" l="1"/>
  <c r="AE159" i="11"/>
  <c r="N77" i="9"/>
  <c r="AE155" i="11"/>
  <c r="AD151" i="11"/>
  <c r="E668" i="11"/>
  <c r="E78" i="9" s="1"/>
  <c r="AB139" i="11"/>
  <c r="AD139" i="11" s="1"/>
  <c r="AB138" i="11"/>
  <c r="AD138" i="11" s="1"/>
  <c r="AB141" i="11"/>
  <c r="AD141" i="11" s="1"/>
  <c r="AB140" i="11"/>
  <c r="AD140" i="11" s="1"/>
  <c r="H22" i="8"/>
  <c r="H23" i="8"/>
  <c r="H24" i="8"/>
  <c r="H25" i="8"/>
  <c r="H26" i="8"/>
  <c r="H21" i="8"/>
  <c r="J24" i="8"/>
  <c r="H11" i="8"/>
  <c r="H12" i="8"/>
  <c r="H13" i="8"/>
  <c r="H14" i="8"/>
  <c r="H10" i="8"/>
  <c r="J14" i="8"/>
  <c r="G529" i="11"/>
  <c r="F529" i="11"/>
  <c r="E529" i="11"/>
  <c r="D529" i="11"/>
  <c r="G528" i="11"/>
  <c r="F528" i="11"/>
  <c r="E528" i="11"/>
  <c r="D528" i="11"/>
  <c r="G527" i="11"/>
  <c r="F527" i="11"/>
  <c r="E527" i="11"/>
  <c r="D527" i="11"/>
  <c r="N78" i="9" l="1"/>
  <c r="E669" i="11"/>
  <c r="E79" i="9" s="1"/>
  <c r="J21" i="8"/>
  <c r="AE683" i="11"/>
  <c r="AD683" i="11"/>
  <c r="AF683" i="11" s="1"/>
  <c r="AE682" i="11"/>
  <c r="AD682" i="11"/>
  <c r="AF682" i="11" s="1"/>
  <c r="AE681" i="11"/>
  <c r="AD681" i="11"/>
  <c r="AF681" i="11" s="1"/>
  <c r="AE680" i="11"/>
  <c r="AD680" i="11"/>
  <c r="AF680" i="11" s="1"/>
  <c r="AE679" i="11"/>
  <c r="AD679" i="11"/>
  <c r="AF679" i="11" s="1"/>
  <c r="AE678" i="11"/>
  <c r="AD678" i="11"/>
  <c r="AF678" i="11" s="1"/>
  <c r="AE677" i="11"/>
  <c r="AD677" i="11"/>
  <c r="AF677" i="11" s="1"/>
  <c r="AF676" i="11"/>
  <c r="AE676" i="11"/>
  <c r="AD676" i="11"/>
  <c r="AE675" i="11"/>
  <c r="AD675" i="11"/>
  <c r="AF675" i="11" s="1"/>
  <c r="AE674" i="11"/>
  <c r="AD674" i="11"/>
  <c r="AF674" i="11" s="1"/>
  <c r="AG674" i="11" s="1"/>
  <c r="AE673" i="11"/>
  <c r="AD673" i="11"/>
  <c r="AF673" i="11" s="1"/>
  <c r="AE672" i="11"/>
  <c r="AD672" i="11"/>
  <c r="AF672" i="11" s="1"/>
  <c r="AM671" i="11"/>
  <c r="AO668" i="11" s="1"/>
  <c r="AF671" i="11"/>
  <c r="AE671" i="11"/>
  <c r="AD671" i="11"/>
  <c r="AO670" i="11"/>
  <c r="AM670" i="11"/>
  <c r="AQ669" i="11" s="1"/>
  <c r="AE670" i="11"/>
  <c r="AD670" i="11"/>
  <c r="AF670" i="11" s="1"/>
  <c r="AG670" i="11" s="1"/>
  <c r="AE669" i="11"/>
  <c r="AD669" i="11"/>
  <c r="AF669" i="11" s="1"/>
  <c r="AE668" i="11"/>
  <c r="AD668" i="11"/>
  <c r="AF668" i="11" s="1"/>
  <c r="AE667" i="11"/>
  <c r="AD667" i="11"/>
  <c r="AF667" i="11" s="1"/>
  <c r="AE666" i="11"/>
  <c r="AD666" i="11"/>
  <c r="AF666" i="11" s="1"/>
  <c r="AE665" i="11"/>
  <c r="AD665" i="11"/>
  <c r="AF665" i="11" s="1"/>
  <c r="AE664" i="11"/>
  <c r="AD664" i="11"/>
  <c r="AF664" i="11" s="1"/>
  <c r="AE662" i="11"/>
  <c r="AD662" i="11"/>
  <c r="AF662" i="11" s="1"/>
  <c r="AE661" i="11"/>
  <c r="AD661" i="11"/>
  <c r="AF661" i="11" s="1"/>
  <c r="AE660" i="11"/>
  <c r="AD660" i="11"/>
  <c r="AF660" i="11" s="1"/>
  <c r="AE659" i="11"/>
  <c r="AD659" i="11"/>
  <c r="AF659" i="11" s="1"/>
  <c r="AE658" i="11"/>
  <c r="AD658" i="11"/>
  <c r="AF658" i="11" s="1"/>
  <c r="AE657" i="11"/>
  <c r="AD657" i="11"/>
  <c r="AF657" i="11" s="1"/>
  <c r="AE656" i="11"/>
  <c r="AD656" i="11"/>
  <c r="AF656" i="11" s="1"/>
  <c r="AE655" i="11"/>
  <c r="AD655" i="11"/>
  <c r="AF655" i="11" s="1"/>
  <c r="AE654" i="11"/>
  <c r="AD654" i="11"/>
  <c r="AF654" i="11" s="1"/>
  <c r="AF653" i="11"/>
  <c r="AE653" i="11"/>
  <c r="AD653" i="11"/>
  <c r="AE652" i="11"/>
  <c r="AD652" i="11"/>
  <c r="AF652" i="11" s="1"/>
  <c r="AA652" i="11"/>
  <c r="Z652" i="11"/>
  <c r="Y652" i="11"/>
  <c r="O652" i="11"/>
  <c r="K652" i="11"/>
  <c r="H652" i="11"/>
  <c r="G652" i="11"/>
  <c r="F652" i="11" s="1"/>
  <c r="V652" i="11" s="1"/>
  <c r="E652" i="11"/>
  <c r="AE651" i="11"/>
  <c r="AD651" i="11"/>
  <c r="AF651" i="11" s="1"/>
  <c r="Z651" i="11"/>
  <c r="U651" i="11"/>
  <c r="S651" i="11"/>
  <c r="AA651" i="11" s="1"/>
  <c r="R651" i="11"/>
  <c r="Q651" i="11"/>
  <c r="Y651" i="11" s="1"/>
  <c r="O651" i="11"/>
  <c r="K651" i="11"/>
  <c r="H651" i="11"/>
  <c r="G651" i="11"/>
  <c r="F651" i="11" s="1"/>
  <c r="V651" i="11" s="1"/>
  <c r="E651" i="11"/>
  <c r="AO650" i="11"/>
  <c r="AO662" i="11" s="1"/>
  <c r="AN650" i="11"/>
  <c r="AN662" i="11" s="1"/>
  <c r="AM650" i="11"/>
  <c r="AM662" i="11" s="1"/>
  <c r="AE650" i="11"/>
  <c r="AD650" i="11"/>
  <c r="AF650" i="11" s="1"/>
  <c r="U650" i="11"/>
  <c r="S650" i="11"/>
  <c r="AA650" i="11" s="1"/>
  <c r="R650" i="11"/>
  <c r="Z650" i="11" s="1"/>
  <c r="Q650" i="11"/>
  <c r="Y650" i="11" s="1"/>
  <c r="O650" i="11"/>
  <c r="K650" i="11"/>
  <c r="H650" i="11"/>
  <c r="E650" i="11"/>
  <c r="G650" i="11" s="1"/>
  <c r="AE649" i="11"/>
  <c r="AD649" i="11"/>
  <c r="AF649" i="11" s="1"/>
  <c r="AA649" i="11"/>
  <c r="Z649" i="11"/>
  <c r="Y649" i="11"/>
  <c r="W649" i="11"/>
  <c r="V649" i="11"/>
  <c r="U649" i="11"/>
  <c r="O649" i="11"/>
  <c r="K649" i="11"/>
  <c r="H649" i="11"/>
  <c r="G649" i="11"/>
  <c r="F649" i="11" s="1"/>
  <c r="E649" i="11"/>
  <c r="AE648" i="11"/>
  <c r="AD648" i="11"/>
  <c r="AF648" i="11" s="1"/>
  <c r="AA648" i="11"/>
  <c r="Z648" i="11"/>
  <c r="Y648" i="11"/>
  <c r="W648" i="11"/>
  <c r="V648" i="11"/>
  <c r="U648" i="11"/>
  <c r="O648" i="11"/>
  <c r="K648" i="11"/>
  <c r="H648" i="11"/>
  <c r="G648" i="11"/>
  <c r="F648" i="11"/>
  <c r="E648" i="11"/>
  <c r="AE647" i="11"/>
  <c r="AD647" i="11"/>
  <c r="AF647" i="11" s="1"/>
  <c r="AA647" i="11"/>
  <c r="Z647" i="11"/>
  <c r="Y647" i="11"/>
  <c r="W647" i="11"/>
  <c r="V647" i="11"/>
  <c r="U647" i="11"/>
  <c r="O647" i="11"/>
  <c r="K647" i="11"/>
  <c r="H647" i="11"/>
  <c r="G647" i="11"/>
  <c r="F647" i="11" s="1"/>
  <c r="E647" i="11"/>
  <c r="AP646" i="11"/>
  <c r="AO646" i="11"/>
  <c r="AN646" i="11"/>
  <c r="AM646" i="11"/>
  <c r="AE646" i="11"/>
  <c r="AD646" i="11"/>
  <c r="AF646" i="11" s="1"/>
  <c r="AA646" i="11"/>
  <c r="Z646" i="11"/>
  <c r="Y646" i="11"/>
  <c r="W646" i="11"/>
  <c r="V646" i="11"/>
  <c r="U646" i="11"/>
  <c r="O646" i="11"/>
  <c r="K646" i="11"/>
  <c r="H646" i="11"/>
  <c r="G646" i="11"/>
  <c r="F646" i="11"/>
  <c r="E646" i="11"/>
  <c r="AP645" i="11"/>
  <c r="AO645" i="11"/>
  <c r="AN645" i="11"/>
  <c r="AM645" i="11"/>
  <c r="AE645" i="11"/>
  <c r="AD645" i="11"/>
  <c r="AF645" i="11" s="1"/>
  <c r="AA645" i="11"/>
  <c r="Z645" i="11"/>
  <c r="Y645" i="11"/>
  <c r="W645" i="11"/>
  <c r="V645" i="11"/>
  <c r="U645" i="11"/>
  <c r="O645" i="11"/>
  <c r="K645" i="11"/>
  <c r="H645" i="11"/>
  <c r="G645" i="11"/>
  <c r="F645" i="11" s="1"/>
  <c r="E645" i="11"/>
  <c r="AP644" i="11"/>
  <c r="AO644" i="11"/>
  <c r="AN644" i="11"/>
  <c r="AM644" i="11"/>
  <c r="AE644" i="11"/>
  <c r="AD644" i="11"/>
  <c r="AF644" i="11" s="1"/>
  <c r="AA644" i="11"/>
  <c r="Z644" i="11"/>
  <c r="Y644" i="11"/>
  <c r="W644" i="11"/>
  <c r="V644" i="11"/>
  <c r="U644" i="11"/>
  <c r="O644" i="11"/>
  <c r="K644" i="11"/>
  <c r="H644" i="11"/>
  <c r="G644" i="11"/>
  <c r="F644" i="11"/>
  <c r="E644" i="11"/>
  <c r="AP643" i="11"/>
  <c r="AP649" i="11" s="1"/>
  <c r="AO643" i="11"/>
  <c r="AO649" i="11" s="1"/>
  <c r="AN643" i="11"/>
  <c r="AN661" i="11" s="1"/>
  <c r="AM643" i="11"/>
  <c r="AM661" i="11" s="1"/>
  <c r="AE643" i="11"/>
  <c r="AD643" i="11"/>
  <c r="AF643" i="11" s="1"/>
  <c r="AA643" i="11"/>
  <c r="Z643" i="11"/>
  <c r="Y643" i="11"/>
  <c r="W643" i="11"/>
  <c r="V643" i="11"/>
  <c r="U643" i="11"/>
  <c r="O643" i="11"/>
  <c r="K643" i="11"/>
  <c r="H643" i="11"/>
  <c r="G643" i="11"/>
  <c r="F643" i="11" s="1"/>
  <c r="E643" i="11"/>
  <c r="AE642" i="11"/>
  <c r="AD642" i="11"/>
  <c r="AF642" i="11" s="1"/>
  <c r="AA642" i="11"/>
  <c r="Z642" i="11"/>
  <c r="Y642" i="11"/>
  <c r="W642" i="11"/>
  <c r="V642" i="11"/>
  <c r="U642" i="11"/>
  <c r="O642" i="11"/>
  <c r="K642" i="11"/>
  <c r="H642" i="11"/>
  <c r="G642" i="11"/>
  <c r="F642" i="11" s="1"/>
  <c r="E642" i="11"/>
  <c r="AE641" i="11"/>
  <c r="AD641" i="11"/>
  <c r="AF638" i="11" s="1"/>
  <c r="AA641" i="11"/>
  <c r="Z641" i="11"/>
  <c r="Y641" i="11"/>
  <c r="W641" i="11"/>
  <c r="V641" i="11"/>
  <c r="U641" i="11"/>
  <c r="O641" i="11"/>
  <c r="K641" i="11"/>
  <c r="H641" i="11"/>
  <c r="G641" i="11"/>
  <c r="F641" i="11" s="1"/>
  <c r="E641" i="11"/>
  <c r="AA640" i="11"/>
  <c r="Z640" i="11"/>
  <c r="Y640" i="11"/>
  <c r="W640" i="11"/>
  <c r="V640" i="11"/>
  <c r="U640" i="11"/>
  <c r="K640" i="11"/>
  <c r="H640" i="11"/>
  <c r="G640" i="11"/>
  <c r="F640" i="11" s="1"/>
  <c r="E640" i="11"/>
  <c r="AA639" i="11"/>
  <c r="Z639" i="11"/>
  <c r="Y639" i="11"/>
  <c r="W639" i="11"/>
  <c r="V639" i="11"/>
  <c r="U639" i="11"/>
  <c r="O639" i="11"/>
  <c r="K639" i="11"/>
  <c r="H639" i="11"/>
  <c r="G639" i="11"/>
  <c r="F639" i="11" s="1"/>
  <c r="E639" i="11"/>
  <c r="AA638" i="11"/>
  <c r="Z638" i="11"/>
  <c r="Y638" i="11"/>
  <c r="W638" i="11"/>
  <c r="V638" i="11"/>
  <c r="U638" i="11"/>
  <c r="K638" i="11"/>
  <c r="H638" i="11"/>
  <c r="G638" i="11"/>
  <c r="F638" i="11" s="1"/>
  <c r="E638" i="11"/>
  <c r="AA637" i="11"/>
  <c r="Z637" i="11"/>
  <c r="Y637" i="11"/>
  <c r="W637" i="11"/>
  <c r="V637" i="11"/>
  <c r="U637" i="11"/>
  <c r="K637" i="11"/>
  <c r="H637" i="11"/>
  <c r="G637" i="11"/>
  <c r="F637" i="11" s="1"/>
  <c r="E637" i="11"/>
  <c r="C629" i="11"/>
  <c r="C628" i="11"/>
  <c r="C627" i="11"/>
  <c r="C626" i="11"/>
  <c r="C625" i="11"/>
  <c r="C624" i="11"/>
  <c r="C623" i="11"/>
  <c r="C622" i="11"/>
  <c r="C621" i="11"/>
  <c r="C620" i="11"/>
  <c r="C619" i="11"/>
  <c r="C618" i="11"/>
  <c r="C617" i="11"/>
  <c r="C616" i="11"/>
  <c r="C615" i="11"/>
  <c r="C614" i="11"/>
  <c r="C613" i="11"/>
  <c r="C612" i="11"/>
  <c r="C611" i="11"/>
  <c r="C610" i="11"/>
  <c r="C609" i="11"/>
  <c r="C608" i="11"/>
  <c r="C607" i="11"/>
  <c r="C606" i="11"/>
  <c r="C605" i="11"/>
  <c r="C604" i="11"/>
  <c r="C603" i="11"/>
  <c r="C602" i="11"/>
  <c r="C601" i="11"/>
  <c r="C600" i="11"/>
  <c r="C599" i="11"/>
  <c r="C598" i="11"/>
  <c r="C597" i="11"/>
  <c r="C596" i="11"/>
  <c r="C595" i="11"/>
  <c r="C594" i="11"/>
  <c r="C593" i="11"/>
  <c r="C592" i="11"/>
  <c r="C591" i="11"/>
  <c r="C590" i="11"/>
  <c r="C589" i="11"/>
  <c r="C588" i="11"/>
  <c r="C587" i="11"/>
  <c r="C586" i="11"/>
  <c r="C585" i="11"/>
  <c r="C584" i="11"/>
  <c r="C583" i="11"/>
  <c r="C582" i="11"/>
  <c r="C581" i="11"/>
  <c r="C580" i="11"/>
  <c r="C579" i="11"/>
  <c r="C578" i="11"/>
  <c r="C577" i="11"/>
  <c r="C576" i="11"/>
  <c r="C575" i="11"/>
  <c r="C574" i="11"/>
  <c r="C573" i="11"/>
  <c r="C572" i="11"/>
  <c r="C571" i="11"/>
  <c r="C570" i="11"/>
  <c r="C569" i="11"/>
  <c r="C568" i="11"/>
  <c r="C567" i="11"/>
  <c r="C566" i="11"/>
  <c r="C565" i="11"/>
  <c r="C564" i="11"/>
  <c r="D564" i="11" s="1"/>
  <c r="D554" i="11"/>
  <c r="F553" i="11"/>
  <c r="D553" i="11"/>
  <c r="H552" i="11" s="1"/>
  <c r="F552" i="11"/>
  <c r="F551" i="11"/>
  <c r="F533" i="11"/>
  <c r="F545" i="11" s="1"/>
  <c r="E533" i="11"/>
  <c r="E545" i="11" s="1"/>
  <c r="D533" i="11"/>
  <c r="D545" i="11" s="1"/>
  <c r="D548" i="11" s="1"/>
  <c r="G49" i="10" s="1"/>
  <c r="G526" i="11"/>
  <c r="G544" i="11" s="1"/>
  <c r="F39" i="9" s="1"/>
  <c r="F526" i="11"/>
  <c r="F544" i="11" s="1"/>
  <c r="E526" i="11"/>
  <c r="E544" i="11" s="1"/>
  <c r="F55" i="9" s="1"/>
  <c r="D526" i="11"/>
  <c r="D532" i="11" s="1"/>
  <c r="E521" i="11"/>
  <c r="D503" i="11"/>
  <c r="C503" i="11"/>
  <c r="F502" i="11"/>
  <c r="D502" i="11"/>
  <c r="C502" i="11"/>
  <c r="G502" i="11" s="1"/>
  <c r="F501" i="11"/>
  <c r="D501" i="11"/>
  <c r="C501" i="11"/>
  <c r="G501" i="11" s="1"/>
  <c r="F500" i="11"/>
  <c r="D500" i="11"/>
  <c r="C500" i="11"/>
  <c r="G500" i="11" s="1"/>
  <c r="F499" i="11"/>
  <c r="D499" i="11"/>
  <c r="C499" i="11"/>
  <c r="G499" i="11" s="1"/>
  <c r="F498" i="11"/>
  <c r="D498" i="11"/>
  <c r="C498" i="11"/>
  <c r="G498" i="11" s="1"/>
  <c r="F497" i="11"/>
  <c r="D497" i="11"/>
  <c r="C497" i="11"/>
  <c r="G497" i="11" s="1"/>
  <c r="F496" i="11"/>
  <c r="D496" i="11"/>
  <c r="C496" i="11"/>
  <c r="G496" i="11" s="1"/>
  <c r="F495" i="11"/>
  <c r="D495" i="11"/>
  <c r="C495" i="11"/>
  <c r="G495" i="11" s="1"/>
  <c r="F494" i="11"/>
  <c r="D494" i="11"/>
  <c r="C494" i="11"/>
  <c r="G494" i="11" s="1"/>
  <c r="F493" i="11"/>
  <c r="D493" i="11"/>
  <c r="C493" i="11"/>
  <c r="G493" i="11" s="1"/>
  <c r="F492" i="11"/>
  <c r="D492" i="11"/>
  <c r="C492" i="11"/>
  <c r="G492" i="11" s="1"/>
  <c r="G491" i="11"/>
  <c r="F491" i="11"/>
  <c r="D491" i="11"/>
  <c r="C491" i="11"/>
  <c r="G490" i="11"/>
  <c r="F490" i="11"/>
  <c r="D490" i="11"/>
  <c r="C490" i="11"/>
  <c r="F489" i="11"/>
  <c r="D489" i="11"/>
  <c r="C489" i="11"/>
  <c r="G489" i="11" s="1"/>
  <c r="F488" i="11"/>
  <c r="D488" i="11"/>
  <c r="C488" i="11"/>
  <c r="G488" i="11" s="1"/>
  <c r="F487" i="11"/>
  <c r="D487" i="11"/>
  <c r="C487" i="11"/>
  <c r="G487" i="11" s="1"/>
  <c r="F486" i="11"/>
  <c r="D486" i="11"/>
  <c r="C486" i="11"/>
  <c r="G486" i="11" s="1"/>
  <c r="F485" i="11"/>
  <c r="D485" i="11"/>
  <c r="C485" i="11"/>
  <c r="G485" i="11" s="1"/>
  <c r="D484" i="11"/>
  <c r="C484" i="11"/>
  <c r="G484" i="11" s="1"/>
  <c r="D244" i="11"/>
  <c r="C244" i="11"/>
  <c r="G244" i="11" s="1"/>
  <c r="D243" i="11"/>
  <c r="C243" i="11"/>
  <c r="G243" i="11" s="1"/>
  <c r="F242" i="11"/>
  <c r="D242" i="11"/>
  <c r="C242" i="11"/>
  <c r="G242" i="11" s="1"/>
  <c r="F241" i="11"/>
  <c r="D241" i="11"/>
  <c r="C241" i="11"/>
  <c r="G241" i="11" s="1"/>
  <c r="F240" i="11"/>
  <c r="D240" i="11"/>
  <c r="C240" i="11"/>
  <c r="G240" i="11" s="1"/>
  <c r="F239" i="11"/>
  <c r="D239" i="11"/>
  <c r="C239" i="11"/>
  <c r="G239" i="11" s="1"/>
  <c r="F238" i="11"/>
  <c r="D238" i="11"/>
  <c r="C238" i="11"/>
  <c r="G238" i="11" s="1"/>
  <c r="F237" i="11"/>
  <c r="D237" i="11"/>
  <c r="C237" i="11"/>
  <c r="G237" i="11" s="1"/>
  <c r="D236" i="11"/>
  <c r="C236" i="11"/>
  <c r="G236" i="11" s="1"/>
  <c r="F235" i="11"/>
  <c r="D235" i="11"/>
  <c r="C235" i="11"/>
  <c r="G235" i="11" s="1"/>
  <c r="F234" i="11"/>
  <c r="D234" i="11"/>
  <c r="C234" i="11"/>
  <c r="G234" i="11" s="1"/>
  <c r="F233" i="11"/>
  <c r="D233" i="11"/>
  <c r="C233" i="11"/>
  <c r="G233" i="11" s="1"/>
  <c r="F232" i="11"/>
  <c r="D232" i="11"/>
  <c r="C232" i="11"/>
  <c r="G232" i="11" s="1"/>
  <c r="F231" i="11"/>
  <c r="D231" i="11"/>
  <c r="C231" i="11"/>
  <c r="G231" i="11" s="1"/>
  <c r="F230" i="11"/>
  <c r="D230" i="11"/>
  <c r="C230" i="11"/>
  <c r="G230" i="11" s="1"/>
  <c r="F229" i="11"/>
  <c r="D229" i="11"/>
  <c r="C229" i="11"/>
  <c r="G229" i="11" s="1"/>
  <c r="F228" i="11"/>
  <c r="D228" i="11"/>
  <c r="C228" i="11"/>
  <c r="G228" i="11" s="1"/>
  <c r="F227" i="11"/>
  <c r="D227" i="11"/>
  <c r="C227" i="11"/>
  <c r="G227" i="11" s="1"/>
  <c r="F226" i="11"/>
  <c r="D226" i="11"/>
  <c r="C226" i="11"/>
  <c r="G226" i="11" s="1"/>
  <c r="F225" i="11"/>
  <c r="D225" i="11"/>
  <c r="C225" i="11"/>
  <c r="G225" i="11" s="1"/>
  <c r="F224" i="11"/>
  <c r="D224" i="11"/>
  <c r="C224" i="11"/>
  <c r="G224" i="11" s="1"/>
  <c r="D223" i="11"/>
  <c r="C223" i="11"/>
  <c r="G223" i="11" s="1"/>
  <c r="F214" i="11"/>
  <c r="F213" i="11"/>
  <c r="F212" i="11"/>
  <c r="F211" i="11"/>
  <c r="F210" i="11"/>
  <c r="F209" i="11"/>
  <c r="F208" i="11"/>
  <c r="F207" i="11"/>
  <c r="F206" i="11"/>
  <c r="F205" i="11"/>
  <c r="F204" i="11"/>
  <c r="F203" i="11"/>
  <c r="F202" i="11"/>
  <c r="F201" i="11"/>
  <c r="F200" i="11"/>
  <c r="F199" i="11"/>
  <c r="F198" i="11"/>
  <c r="F197" i="11"/>
  <c r="F196" i="11"/>
  <c r="F195" i="11"/>
  <c r="F194" i="11"/>
  <c r="F193" i="11"/>
  <c r="F192" i="11"/>
  <c r="C192" i="11"/>
  <c r="K192" i="11" s="1"/>
  <c r="L192" i="11" s="1"/>
  <c r="M192" i="11" s="1"/>
  <c r="F191" i="11"/>
  <c r="C191" i="11"/>
  <c r="K191" i="11" s="1"/>
  <c r="L191" i="11" s="1"/>
  <c r="M191" i="11" s="1"/>
  <c r="F190" i="11"/>
  <c r="C190" i="11"/>
  <c r="H190" i="11" s="1"/>
  <c r="F189" i="11"/>
  <c r="C189" i="11"/>
  <c r="K189" i="11" s="1"/>
  <c r="L189" i="11" s="1"/>
  <c r="M189" i="11" s="1"/>
  <c r="I188" i="11"/>
  <c r="P29" i="4" s="1"/>
  <c r="O29" i="4" s="1"/>
  <c r="F188" i="11"/>
  <c r="C188" i="11"/>
  <c r="K188" i="11" s="1"/>
  <c r="L188" i="11" s="1"/>
  <c r="M188" i="11" s="1"/>
  <c r="K187" i="11"/>
  <c r="L187" i="11" s="1"/>
  <c r="M187" i="11" s="1"/>
  <c r="F187" i="11"/>
  <c r="C187" i="11"/>
  <c r="F186" i="11"/>
  <c r="C186" i="11"/>
  <c r="H186" i="11" s="1"/>
  <c r="F185" i="11"/>
  <c r="C185" i="11"/>
  <c r="K185" i="11" s="1"/>
  <c r="L185" i="11" s="1"/>
  <c r="M185" i="11" s="1"/>
  <c r="F184" i="11"/>
  <c r="C184" i="11"/>
  <c r="K184" i="11" s="1"/>
  <c r="L184" i="11" s="1"/>
  <c r="M184" i="11" s="1"/>
  <c r="F183" i="11"/>
  <c r="C183" i="11"/>
  <c r="K183" i="11" s="1"/>
  <c r="L183" i="11" s="1"/>
  <c r="M183" i="11" s="1"/>
  <c r="F182" i="11"/>
  <c r="C182" i="11"/>
  <c r="H182" i="11" s="1"/>
  <c r="F181" i="11"/>
  <c r="C181" i="11"/>
  <c r="K181" i="11" s="1"/>
  <c r="L181" i="11" s="1"/>
  <c r="M181" i="11" s="1"/>
  <c r="I180" i="11"/>
  <c r="P21" i="4" s="1"/>
  <c r="O21" i="4" s="1"/>
  <c r="F180" i="11"/>
  <c r="C180" i="11"/>
  <c r="K180" i="11" s="1"/>
  <c r="L180" i="11" s="1"/>
  <c r="M180" i="11" s="1"/>
  <c r="K179" i="11"/>
  <c r="L179" i="11" s="1"/>
  <c r="M179" i="11" s="1"/>
  <c r="F179" i="11"/>
  <c r="C179" i="11"/>
  <c r="F178" i="11"/>
  <c r="C178" i="11"/>
  <c r="H178" i="11" s="1"/>
  <c r="F177" i="11"/>
  <c r="C177" i="11"/>
  <c r="K177" i="11" s="1"/>
  <c r="L177" i="11" s="1"/>
  <c r="M177" i="11" s="1"/>
  <c r="F176" i="11"/>
  <c r="C176" i="11"/>
  <c r="K176" i="11" s="1"/>
  <c r="L176" i="11" s="1"/>
  <c r="M176" i="11" s="1"/>
  <c r="F175" i="11"/>
  <c r="C175" i="11"/>
  <c r="K175" i="11" s="1"/>
  <c r="L175" i="11" s="1"/>
  <c r="M175" i="11" s="1"/>
  <c r="F174" i="11"/>
  <c r="C174" i="11"/>
  <c r="H174" i="11" s="1"/>
  <c r="F173" i="11"/>
  <c r="C173" i="11"/>
  <c r="K173" i="11" s="1"/>
  <c r="L173" i="11" s="1"/>
  <c r="M173" i="11" s="1"/>
  <c r="F172" i="11"/>
  <c r="C172" i="11"/>
  <c r="K172" i="11" s="1"/>
  <c r="L172" i="11" s="1"/>
  <c r="M172" i="11" s="1"/>
  <c r="F171" i="11"/>
  <c r="C171" i="11"/>
  <c r="T67" i="3"/>
  <c r="C167" i="11"/>
  <c r="T66" i="3"/>
  <c r="N166" i="11"/>
  <c r="M166" i="11"/>
  <c r="L166" i="11"/>
  <c r="K166" i="11"/>
  <c r="J166" i="11"/>
  <c r="I166" i="11"/>
  <c r="H166" i="11"/>
  <c r="G166" i="11"/>
  <c r="F166" i="11"/>
  <c r="E166" i="11"/>
  <c r="C166" i="11"/>
  <c r="T65" i="3"/>
  <c r="N165" i="11"/>
  <c r="M165" i="11"/>
  <c r="L165" i="11"/>
  <c r="K165" i="11"/>
  <c r="J165" i="11"/>
  <c r="I165" i="11"/>
  <c r="H165" i="11"/>
  <c r="G165" i="11"/>
  <c r="F165" i="11"/>
  <c r="E165" i="11"/>
  <c r="C165" i="11"/>
  <c r="T64" i="3"/>
  <c r="N164" i="11"/>
  <c r="M164" i="11"/>
  <c r="L164" i="11"/>
  <c r="K164" i="11"/>
  <c r="J164" i="11"/>
  <c r="I164" i="11"/>
  <c r="H164" i="11"/>
  <c r="G164" i="11"/>
  <c r="F164" i="11"/>
  <c r="E164" i="11"/>
  <c r="C164" i="11"/>
  <c r="T63" i="3"/>
  <c r="N163" i="11"/>
  <c r="M163" i="11"/>
  <c r="L163" i="11"/>
  <c r="K163" i="11"/>
  <c r="J163" i="11"/>
  <c r="I163" i="11"/>
  <c r="H163" i="11"/>
  <c r="G163" i="11"/>
  <c r="F163" i="11"/>
  <c r="E163" i="11"/>
  <c r="C163" i="11"/>
  <c r="T62" i="3"/>
  <c r="N162" i="11"/>
  <c r="M162" i="11"/>
  <c r="L162" i="11"/>
  <c r="K162" i="11"/>
  <c r="J162" i="11"/>
  <c r="I162" i="11"/>
  <c r="H162" i="11"/>
  <c r="G162" i="11"/>
  <c r="F162" i="11"/>
  <c r="E162" i="11"/>
  <c r="C162" i="11"/>
  <c r="T61" i="3"/>
  <c r="N161" i="11"/>
  <c r="M161" i="11"/>
  <c r="L161" i="11"/>
  <c r="K161" i="11"/>
  <c r="J161" i="11"/>
  <c r="I161" i="11"/>
  <c r="H161" i="11"/>
  <c r="G161" i="11"/>
  <c r="F161" i="11"/>
  <c r="E161" i="11"/>
  <c r="C161" i="11"/>
  <c r="T60" i="3"/>
  <c r="N160" i="11"/>
  <c r="M160" i="11"/>
  <c r="L160" i="11"/>
  <c r="K160" i="11"/>
  <c r="J160" i="11"/>
  <c r="I160" i="11"/>
  <c r="H160" i="11"/>
  <c r="G160" i="11"/>
  <c r="F160" i="11"/>
  <c r="E160" i="11"/>
  <c r="C160" i="11"/>
  <c r="T59" i="3"/>
  <c r="N159" i="11"/>
  <c r="M159" i="11"/>
  <c r="L159" i="11"/>
  <c r="K159" i="11"/>
  <c r="J159" i="11"/>
  <c r="I159" i="11"/>
  <c r="H159" i="11"/>
  <c r="G159" i="11"/>
  <c r="F159" i="11"/>
  <c r="E159" i="11"/>
  <c r="C159" i="11"/>
  <c r="T58" i="3"/>
  <c r="N158" i="11"/>
  <c r="M158" i="11"/>
  <c r="L158" i="11"/>
  <c r="K158" i="11"/>
  <c r="J158" i="11"/>
  <c r="I158" i="11"/>
  <c r="H158" i="11"/>
  <c r="G158" i="11"/>
  <c r="F158" i="11"/>
  <c r="E158" i="11"/>
  <c r="C158" i="11"/>
  <c r="T57" i="3"/>
  <c r="N157" i="11"/>
  <c r="M157" i="11"/>
  <c r="L157" i="11"/>
  <c r="K157" i="11"/>
  <c r="J157" i="11"/>
  <c r="I157" i="11"/>
  <c r="H157" i="11"/>
  <c r="G157" i="11"/>
  <c r="F157" i="11"/>
  <c r="E157" i="11"/>
  <c r="C157" i="11"/>
  <c r="T56" i="3"/>
  <c r="N156" i="11"/>
  <c r="M156" i="11"/>
  <c r="L156" i="11"/>
  <c r="K156" i="11"/>
  <c r="J156" i="11"/>
  <c r="I156" i="11"/>
  <c r="H156" i="11"/>
  <c r="G156" i="11"/>
  <c r="F156" i="11"/>
  <c r="E156" i="11"/>
  <c r="C156" i="11"/>
  <c r="T55" i="3"/>
  <c r="N155" i="11"/>
  <c r="M155" i="11"/>
  <c r="L155" i="11"/>
  <c r="K155" i="11"/>
  <c r="J155" i="11"/>
  <c r="I155" i="11"/>
  <c r="H155" i="11"/>
  <c r="G155" i="11"/>
  <c r="F155" i="11"/>
  <c r="E155" i="11"/>
  <c r="C155" i="11"/>
  <c r="T54" i="3"/>
  <c r="N154" i="11"/>
  <c r="M154" i="11"/>
  <c r="L154" i="11"/>
  <c r="K154" i="11"/>
  <c r="J154" i="11"/>
  <c r="I154" i="11"/>
  <c r="H154" i="11"/>
  <c r="G154" i="11"/>
  <c r="F154" i="11"/>
  <c r="E154" i="11"/>
  <c r="C154" i="11"/>
  <c r="T53" i="3"/>
  <c r="N153" i="11"/>
  <c r="M153" i="11"/>
  <c r="L153" i="11"/>
  <c r="K153" i="11"/>
  <c r="J153" i="11"/>
  <c r="I153" i="11"/>
  <c r="H153" i="11"/>
  <c r="G153" i="11"/>
  <c r="F153" i="11"/>
  <c r="E153" i="11"/>
  <c r="C153" i="11"/>
  <c r="T52" i="3"/>
  <c r="N152" i="11"/>
  <c r="M152" i="11"/>
  <c r="L152" i="11"/>
  <c r="K152" i="11"/>
  <c r="J152" i="11"/>
  <c r="I152" i="11"/>
  <c r="H152" i="11"/>
  <c r="G152" i="11"/>
  <c r="F152" i="11"/>
  <c r="E152" i="11"/>
  <c r="C152" i="11"/>
  <c r="T51" i="3"/>
  <c r="N151" i="11"/>
  <c r="M151" i="11"/>
  <c r="L151" i="11"/>
  <c r="K151" i="11"/>
  <c r="J151" i="11"/>
  <c r="I151" i="11"/>
  <c r="H151" i="11"/>
  <c r="G151" i="11"/>
  <c r="F151" i="11"/>
  <c r="E151" i="11"/>
  <c r="C151" i="11"/>
  <c r="T50" i="3"/>
  <c r="N150" i="11"/>
  <c r="M150" i="11"/>
  <c r="L150" i="11"/>
  <c r="K150" i="11"/>
  <c r="J150" i="11"/>
  <c r="I150" i="11"/>
  <c r="H150" i="11"/>
  <c r="G150" i="11"/>
  <c r="F150" i="11"/>
  <c r="E150" i="11"/>
  <c r="C150" i="11"/>
  <c r="N149" i="11"/>
  <c r="M149" i="11"/>
  <c r="L149" i="11"/>
  <c r="K149" i="11"/>
  <c r="J149" i="11"/>
  <c r="I149" i="11"/>
  <c r="H149" i="11"/>
  <c r="G149" i="11"/>
  <c r="F149" i="11"/>
  <c r="E149" i="11"/>
  <c r="C149" i="11"/>
  <c r="N148" i="11"/>
  <c r="M148" i="11"/>
  <c r="L148" i="11"/>
  <c r="K148" i="11"/>
  <c r="J148" i="11"/>
  <c r="I148" i="11"/>
  <c r="H148" i="11"/>
  <c r="G148" i="11"/>
  <c r="F148" i="11"/>
  <c r="E148" i="11"/>
  <c r="C148" i="11"/>
  <c r="N142" i="11"/>
  <c r="M142" i="11"/>
  <c r="L142" i="11"/>
  <c r="K142" i="11"/>
  <c r="J142" i="11"/>
  <c r="I142" i="11"/>
  <c r="H142" i="11"/>
  <c r="G142" i="11"/>
  <c r="F142" i="11"/>
  <c r="E142" i="11"/>
  <c r="N141" i="11"/>
  <c r="M141" i="11"/>
  <c r="L141" i="11"/>
  <c r="K141" i="11"/>
  <c r="J141" i="11"/>
  <c r="I141" i="11"/>
  <c r="H141" i="11"/>
  <c r="G141" i="11"/>
  <c r="F141" i="11"/>
  <c r="E141" i="11"/>
  <c r="N140" i="11"/>
  <c r="M140" i="11"/>
  <c r="L140" i="11"/>
  <c r="K140" i="11"/>
  <c r="J140" i="11"/>
  <c r="I140" i="11"/>
  <c r="H140" i="11"/>
  <c r="G140" i="11"/>
  <c r="F140" i="11"/>
  <c r="E140" i="11"/>
  <c r="N139" i="11"/>
  <c r="M139" i="11"/>
  <c r="L139" i="11"/>
  <c r="K139" i="11"/>
  <c r="J139" i="11"/>
  <c r="I139" i="11"/>
  <c r="H139" i="11"/>
  <c r="G139" i="11"/>
  <c r="F139" i="11"/>
  <c r="E139" i="11"/>
  <c r="C139" i="11"/>
  <c r="N138" i="11"/>
  <c r="M138" i="11"/>
  <c r="L138" i="11"/>
  <c r="K138" i="11"/>
  <c r="J138" i="11"/>
  <c r="I138" i="11"/>
  <c r="H138" i="11"/>
  <c r="G138" i="11"/>
  <c r="F138" i="11"/>
  <c r="E138" i="11"/>
  <c r="C138" i="11"/>
  <c r="N137" i="11"/>
  <c r="M137" i="11"/>
  <c r="L137" i="11"/>
  <c r="K137" i="11"/>
  <c r="J137" i="11"/>
  <c r="I137" i="11"/>
  <c r="H137" i="11"/>
  <c r="G137" i="11"/>
  <c r="F137" i="11"/>
  <c r="E137" i="11"/>
  <c r="C137" i="11"/>
  <c r="N136" i="11"/>
  <c r="M136" i="11"/>
  <c r="L136" i="11"/>
  <c r="K136" i="11"/>
  <c r="J136" i="11"/>
  <c r="I136" i="11"/>
  <c r="H136" i="11"/>
  <c r="G136" i="11"/>
  <c r="F136" i="11"/>
  <c r="E136" i="11"/>
  <c r="C136" i="11"/>
  <c r="N135" i="11"/>
  <c r="M135" i="11"/>
  <c r="L135" i="11"/>
  <c r="K135" i="11"/>
  <c r="J135" i="11"/>
  <c r="I135" i="11"/>
  <c r="H135" i="11"/>
  <c r="G135" i="11"/>
  <c r="F135" i="11"/>
  <c r="E135" i="11"/>
  <c r="C135" i="11"/>
  <c r="N134" i="11"/>
  <c r="M134" i="11"/>
  <c r="L134" i="11"/>
  <c r="K134" i="11"/>
  <c r="J134" i="11"/>
  <c r="I134" i="11"/>
  <c r="H134" i="11"/>
  <c r="G134" i="11"/>
  <c r="F134" i="11"/>
  <c r="E134" i="11"/>
  <c r="C134" i="11"/>
  <c r="N133" i="11"/>
  <c r="M133" i="11"/>
  <c r="L133" i="11"/>
  <c r="K133" i="11"/>
  <c r="J133" i="11"/>
  <c r="I133" i="11"/>
  <c r="H133" i="11"/>
  <c r="G133" i="11"/>
  <c r="F133" i="11"/>
  <c r="E133" i="11"/>
  <c r="C133" i="11"/>
  <c r="N132" i="11"/>
  <c r="M132" i="11"/>
  <c r="L132" i="11"/>
  <c r="K132" i="11"/>
  <c r="J132" i="11"/>
  <c r="I132" i="11"/>
  <c r="H132" i="11"/>
  <c r="G132" i="11"/>
  <c r="F132" i="11"/>
  <c r="E132" i="11"/>
  <c r="C132" i="11"/>
  <c r="N131" i="11"/>
  <c r="M131" i="11"/>
  <c r="L131" i="11"/>
  <c r="K131" i="11"/>
  <c r="J131" i="11"/>
  <c r="I131" i="11"/>
  <c r="H131" i="11"/>
  <c r="G131" i="11"/>
  <c r="F131" i="11"/>
  <c r="E131" i="11"/>
  <c r="C131" i="11"/>
  <c r="N130" i="11"/>
  <c r="M130" i="11"/>
  <c r="L130" i="11"/>
  <c r="K130" i="11"/>
  <c r="J130" i="11"/>
  <c r="I130" i="11"/>
  <c r="H130" i="11"/>
  <c r="G130" i="11"/>
  <c r="F130" i="11"/>
  <c r="E130" i="11"/>
  <c r="C130" i="11"/>
  <c r="N129" i="11"/>
  <c r="M129" i="11"/>
  <c r="L129" i="11"/>
  <c r="K129" i="11"/>
  <c r="J129" i="11"/>
  <c r="I129" i="11"/>
  <c r="H129" i="11"/>
  <c r="G129" i="11"/>
  <c r="F129" i="11"/>
  <c r="E129" i="11"/>
  <c r="C129" i="11"/>
  <c r="N128" i="11"/>
  <c r="M128" i="11"/>
  <c r="L128" i="11"/>
  <c r="K128" i="11"/>
  <c r="J128" i="11"/>
  <c r="I128" i="11"/>
  <c r="H128" i="11"/>
  <c r="G128" i="11"/>
  <c r="F128" i="11"/>
  <c r="E128" i="11"/>
  <c r="C128" i="11"/>
  <c r="N127" i="11"/>
  <c r="M127" i="11"/>
  <c r="L127" i="11"/>
  <c r="K127" i="11"/>
  <c r="J127" i="11"/>
  <c r="I127" i="11"/>
  <c r="H127" i="11"/>
  <c r="G127" i="11"/>
  <c r="F127" i="11"/>
  <c r="E127" i="11"/>
  <c r="C127" i="11"/>
  <c r="N126" i="11"/>
  <c r="M126" i="11"/>
  <c r="L126" i="11"/>
  <c r="K126" i="11"/>
  <c r="J126" i="11"/>
  <c r="I126" i="11"/>
  <c r="H126" i="11"/>
  <c r="G126" i="11"/>
  <c r="F126" i="11"/>
  <c r="E126" i="11"/>
  <c r="C126" i="11"/>
  <c r="N125" i="11"/>
  <c r="M125" i="11"/>
  <c r="L125" i="11"/>
  <c r="K125" i="11"/>
  <c r="J125" i="11"/>
  <c r="I125" i="11"/>
  <c r="H125" i="11"/>
  <c r="G125" i="11"/>
  <c r="F125" i="11"/>
  <c r="E125" i="11"/>
  <c r="C125" i="11"/>
  <c r="N124" i="11"/>
  <c r="M124" i="11"/>
  <c r="L124" i="11"/>
  <c r="K124" i="11"/>
  <c r="J124" i="11"/>
  <c r="I124" i="11"/>
  <c r="H124" i="11"/>
  <c r="G124" i="11"/>
  <c r="F124" i="11"/>
  <c r="E124" i="11"/>
  <c r="C124" i="11"/>
  <c r="E123" i="11"/>
  <c r="C123" i="11"/>
  <c r="G122" i="11"/>
  <c r="C122" i="11"/>
  <c r="N121" i="11"/>
  <c r="M121" i="11"/>
  <c r="L121" i="11"/>
  <c r="K121" i="11"/>
  <c r="J121" i="11"/>
  <c r="I121" i="11"/>
  <c r="H121" i="11"/>
  <c r="G121" i="11"/>
  <c r="F121" i="11"/>
  <c r="E121" i="11"/>
  <c r="C121" i="11"/>
  <c r="N120" i="11"/>
  <c r="M120" i="11"/>
  <c r="L120" i="11"/>
  <c r="K120" i="11"/>
  <c r="J120" i="11"/>
  <c r="I120" i="11"/>
  <c r="H120" i="11"/>
  <c r="G120" i="11"/>
  <c r="F120" i="11"/>
  <c r="E120" i="11"/>
  <c r="C120" i="11"/>
  <c r="N119" i="11"/>
  <c r="M119" i="11"/>
  <c r="L119" i="11"/>
  <c r="K119" i="11"/>
  <c r="J119" i="11"/>
  <c r="I119" i="11"/>
  <c r="H119" i="11"/>
  <c r="G119" i="11"/>
  <c r="F119" i="11"/>
  <c r="E119" i="11"/>
  <c r="C119" i="11"/>
  <c r="N118" i="11"/>
  <c r="M118" i="11"/>
  <c r="L118" i="11"/>
  <c r="K118" i="11"/>
  <c r="J118" i="11"/>
  <c r="I118" i="11"/>
  <c r="H118" i="11"/>
  <c r="G118" i="11"/>
  <c r="F118" i="11"/>
  <c r="E118" i="11"/>
  <c r="C118" i="11"/>
  <c r="AG118" i="11" s="1"/>
  <c r="M102" i="11"/>
  <c r="N123" i="11" s="1"/>
  <c r="L102" i="11"/>
  <c r="M123" i="11" s="1"/>
  <c r="K102" i="11"/>
  <c r="L123" i="11" s="1"/>
  <c r="J102" i="11"/>
  <c r="K123" i="11" s="1"/>
  <c r="I102" i="11"/>
  <c r="J123" i="11" s="1"/>
  <c r="H102" i="11"/>
  <c r="I123" i="11" s="1"/>
  <c r="G102" i="11"/>
  <c r="H123" i="11" s="1"/>
  <c r="F102" i="11"/>
  <c r="G123" i="11" s="1"/>
  <c r="E102" i="11"/>
  <c r="F123" i="11" s="1"/>
  <c r="D102" i="11"/>
  <c r="M101" i="11"/>
  <c r="N122" i="11" s="1"/>
  <c r="L101" i="11"/>
  <c r="M122" i="11" s="1"/>
  <c r="K101" i="11"/>
  <c r="L122" i="11" s="1"/>
  <c r="J101" i="11"/>
  <c r="K122" i="11" s="1"/>
  <c r="I101" i="11"/>
  <c r="J122" i="11" s="1"/>
  <c r="H101" i="11"/>
  <c r="I122" i="11" s="1"/>
  <c r="G101" i="11"/>
  <c r="H122" i="11" s="1"/>
  <c r="F101" i="11"/>
  <c r="E101" i="11"/>
  <c r="F122" i="11" s="1"/>
  <c r="D101" i="11"/>
  <c r="E122" i="11" s="1"/>
  <c r="F2" i="11"/>
  <c r="I37" i="10"/>
  <c r="I45" i="10" s="1"/>
  <c r="G14" i="10"/>
  <c r="I37" i="9"/>
  <c r="I45" i="9" s="1"/>
  <c r="G14" i="9"/>
  <c r="J10" i="8"/>
  <c r="J35" i="5"/>
  <c r="J34" i="5"/>
  <c r="J33" i="5"/>
  <c r="J32" i="5"/>
  <c r="J31" i="5"/>
  <c r="J30" i="5"/>
  <c r="J29" i="5"/>
  <c r="J28" i="5"/>
  <c r="J27" i="5"/>
  <c r="J26" i="5"/>
  <c r="J25" i="5"/>
  <c r="J24" i="5"/>
  <c r="J23" i="5"/>
  <c r="J22" i="5"/>
  <c r="J21" i="5"/>
  <c r="J20" i="5"/>
  <c r="J19" i="5"/>
  <c r="J18" i="5"/>
  <c r="J17" i="5"/>
  <c r="J16" i="5"/>
  <c r="J15" i="5"/>
  <c r="J14" i="5"/>
  <c r="G12" i="5"/>
  <c r="H44" i="2"/>
  <c r="H43" i="2"/>
  <c r="H42" i="2"/>
  <c r="H32" i="2"/>
  <c r="L32" i="2" s="1"/>
  <c r="H31" i="2"/>
  <c r="L31" i="2" s="1"/>
  <c r="H30" i="2"/>
  <c r="L30" i="2" s="1"/>
  <c r="H21" i="2"/>
  <c r="H28" i="2" s="1"/>
  <c r="Y6" i="2"/>
  <c r="E520" i="11" s="1"/>
  <c r="G5" i="10" s="1"/>
  <c r="Y5" i="2"/>
  <c r="E519" i="11" s="1"/>
  <c r="G3" i="10" s="1"/>
  <c r="AF454" i="11"/>
  <c r="AG667" i="11" l="1"/>
  <c r="AG677" i="11"/>
  <c r="I171" i="11"/>
  <c r="K171" i="11"/>
  <c r="L171" i="11" s="1"/>
  <c r="M171" i="11" s="1"/>
  <c r="H171" i="11"/>
  <c r="N19" i="3"/>
  <c r="AJ118" i="11"/>
  <c r="AK118" i="11"/>
  <c r="AL118" i="11" s="1"/>
  <c r="O49" i="3"/>
  <c r="U49" i="3" s="1"/>
  <c r="T49" i="3" s="1"/>
  <c r="Q148" i="11"/>
  <c r="AK148" i="11"/>
  <c r="AL148" i="11" s="1"/>
  <c r="AG148" i="11"/>
  <c r="AH148" i="11"/>
  <c r="AI148" i="11" s="1"/>
  <c r="O48" i="3"/>
  <c r="U48" i="3" s="1"/>
  <c r="T48" i="3" s="1"/>
  <c r="AJ148" i="11"/>
  <c r="N18" i="3"/>
  <c r="Q118" i="11"/>
  <c r="N79" i="9"/>
  <c r="E670" i="11"/>
  <c r="E80" i="9" s="1"/>
  <c r="AO669" i="11"/>
  <c r="H176" i="11"/>
  <c r="H177" i="11"/>
  <c r="I178" i="11"/>
  <c r="P19" i="4" s="1"/>
  <c r="O19" i="4" s="1"/>
  <c r="H184" i="11"/>
  <c r="H185" i="11"/>
  <c r="I186" i="11"/>
  <c r="P27" i="4" s="1"/>
  <c r="O27" i="4" s="1"/>
  <c r="H192" i="11"/>
  <c r="I173" i="11"/>
  <c r="P14" i="4" s="1"/>
  <c r="O14" i="4" s="1"/>
  <c r="I176" i="11"/>
  <c r="P17" i="4" s="1"/>
  <c r="I177" i="11"/>
  <c r="P18" i="4" s="1"/>
  <c r="O18" i="4" s="1"/>
  <c r="I181" i="11"/>
  <c r="P22" i="4" s="1"/>
  <c r="O22" i="4" s="1"/>
  <c r="I184" i="11"/>
  <c r="P25" i="4" s="1"/>
  <c r="O25" i="4" s="1"/>
  <c r="I185" i="11"/>
  <c r="P26" i="4" s="1"/>
  <c r="O26" i="4" s="1"/>
  <c r="I189" i="11"/>
  <c r="P30" i="4" s="1"/>
  <c r="I192" i="11"/>
  <c r="P33" i="4" s="1"/>
  <c r="O33" i="4" s="1"/>
  <c r="AG651" i="11"/>
  <c r="AG669" i="11"/>
  <c r="AG668" i="11"/>
  <c r="AG678" i="11"/>
  <c r="AG682" i="11"/>
  <c r="K28" i="5"/>
  <c r="L28" i="5"/>
  <c r="K20" i="5"/>
  <c r="L20" i="5"/>
  <c r="K32" i="5"/>
  <c r="L32" i="5"/>
  <c r="K17" i="5"/>
  <c r="L17" i="5"/>
  <c r="K21" i="5"/>
  <c r="L21" i="5"/>
  <c r="K25" i="5"/>
  <c r="L25" i="5"/>
  <c r="K29" i="5"/>
  <c r="L29" i="5"/>
  <c r="K33" i="5"/>
  <c r="L33" i="5"/>
  <c r="K16" i="5"/>
  <c r="L16" i="5"/>
  <c r="K24" i="5"/>
  <c r="L24" i="5"/>
  <c r="L14" i="5"/>
  <c r="K18" i="5"/>
  <c r="L18" i="5"/>
  <c r="K22" i="5"/>
  <c r="L22" i="5"/>
  <c r="K26" i="5"/>
  <c r="L26" i="5"/>
  <c r="L30" i="5"/>
  <c r="K30" i="5" s="1"/>
  <c r="K34" i="5"/>
  <c r="L34" i="5"/>
  <c r="K15" i="5"/>
  <c r="L15" i="5"/>
  <c r="K19" i="5"/>
  <c r="L19" i="5"/>
  <c r="K23" i="5"/>
  <c r="L23" i="5"/>
  <c r="K27" i="5"/>
  <c r="L27" i="5"/>
  <c r="K31" i="5"/>
  <c r="L31" i="5"/>
  <c r="K35" i="5"/>
  <c r="L35" i="5"/>
  <c r="AG673" i="11"/>
  <c r="AG655" i="11"/>
  <c r="AG657" i="11"/>
  <c r="AG659" i="11"/>
  <c r="AG661" i="11"/>
  <c r="AG681" i="11"/>
  <c r="W652" i="11"/>
  <c r="W651" i="11"/>
  <c r="AG126" i="11"/>
  <c r="AH126" i="11" s="1"/>
  <c r="AI126" i="11" s="1"/>
  <c r="AJ126" i="11"/>
  <c r="AK126" i="11" s="1"/>
  <c r="AL126" i="11" s="1"/>
  <c r="AG122" i="11"/>
  <c r="AH122" i="11" s="1"/>
  <c r="AI122" i="11" s="1"/>
  <c r="AJ122" i="11"/>
  <c r="AK122" i="11" s="1"/>
  <c r="AL122" i="11" s="1"/>
  <c r="AG125" i="11"/>
  <c r="AH125" i="11" s="1"/>
  <c r="AI125" i="11" s="1"/>
  <c r="AJ125" i="11"/>
  <c r="AK125" i="11" s="1"/>
  <c r="AL125" i="11" s="1"/>
  <c r="AG129" i="11"/>
  <c r="AH129" i="11" s="1"/>
  <c r="AI129" i="11" s="1"/>
  <c r="AJ129" i="11"/>
  <c r="AK129" i="11" s="1"/>
  <c r="AL129" i="11" s="1"/>
  <c r="AG133" i="11"/>
  <c r="AH133" i="11" s="1"/>
  <c r="AI133" i="11" s="1"/>
  <c r="AJ133" i="11"/>
  <c r="AK133" i="11" s="1"/>
  <c r="AL133" i="11" s="1"/>
  <c r="AG137" i="11"/>
  <c r="AH137" i="11" s="1"/>
  <c r="AI137" i="11" s="1"/>
  <c r="AJ137" i="11"/>
  <c r="AK137" i="11" s="1"/>
  <c r="AL137" i="11" s="1"/>
  <c r="AG120" i="11"/>
  <c r="AH120" i="11" s="1"/>
  <c r="AI120" i="11" s="1"/>
  <c r="AJ120" i="11"/>
  <c r="AK120" i="11" s="1"/>
  <c r="AL120" i="11" s="1"/>
  <c r="AG123" i="11"/>
  <c r="AH123" i="11" s="1"/>
  <c r="AI123" i="11" s="1"/>
  <c r="AJ123" i="11"/>
  <c r="AK123" i="11" s="1"/>
  <c r="AL123" i="11" s="1"/>
  <c r="AG127" i="11"/>
  <c r="AH127" i="11" s="1"/>
  <c r="AI127" i="11" s="1"/>
  <c r="AJ127" i="11"/>
  <c r="AK127" i="11" s="1"/>
  <c r="AL127" i="11" s="1"/>
  <c r="AG131" i="11"/>
  <c r="AH131" i="11" s="1"/>
  <c r="AI131" i="11" s="1"/>
  <c r="AJ131" i="11"/>
  <c r="AK131" i="11" s="1"/>
  <c r="AL131" i="11" s="1"/>
  <c r="AG135" i="11"/>
  <c r="AH135" i="11" s="1"/>
  <c r="AI135" i="11" s="1"/>
  <c r="AJ135" i="11"/>
  <c r="AK135" i="11" s="1"/>
  <c r="AL135" i="11" s="1"/>
  <c r="AG139" i="11"/>
  <c r="AH139" i="11" s="1"/>
  <c r="AI139" i="11" s="1"/>
  <c r="AJ139" i="11"/>
  <c r="AK139" i="11" s="1"/>
  <c r="AL139" i="11" s="1"/>
  <c r="AJ149" i="11"/>
  <c r="AG149" i="11"/>
  <c r="AJ150" i="11"/>
  <c r="AK150" i="11" s="1"/>
  <c r="AL150" i="11" s="1"/>
  <c r="AG150" i="11"/>
  <c r="AH150" i="11" s="1"/>
  <c r="AI150" i="11" s="1"/>
  <c r="AJ151" i="11"/>
  <c r="AK151" i="11" s="1"/>
  <c r="AL151" i="11" s="1"/>
  <c r="AG151" i="11"/>
  <c r="AH151" i="11" s="1"/>
  <c r="AI151" i="11" s="1"/>
  <c r="AJ152" i="11"/>
  <c r="AK152" i="11" s="1"/>
  <c r="AL152" i="11" s="1"/>
  <c r="AG152" i="11"/>
  <c r="AH152" i="11" s="1"/>
  <c r="AI152" i="11" s="1"/>
  <c r="AJ153" i="11"/>
  <c r="AK153" i="11" s="1"/>
  <c r="AL153" i="11" s="1"/>
  <c r="AG153" i="11"/>
  <c r="AH153" i="11" s="1"/>
  <c r="AI153" i="11" s="1"/>
  <c r="AJ154" i="11"/>
  <c r="AK154" i="11" s="1"/>
  <c r="AL154" i="11" s="1"/>
  <c r="AG154" i="11"/>
  <c r="AH154" i="11" s="1"/>
  <c r="AI154" i="11" s="1"/>
  <c r="AJ155" i="11"/>
  <c r="AK155" i="11" s="1"/>
  <c r="AL155" i="11" s="1"/>
  <c r="AG155" i="11"/>
  <c r="AH155" i="11" s="1"/>
  <c r="AI155" i="11" s="1"/>
  <c r="AJ156" i="11"/>
  <c r="AK156" i="11" s="1"/>
  <c r="AL156" i="11" s="1"/>
  <c r="AG156" i="11"/>
  <c r="AH156" i="11" s="1"/>
  <c r="AI156" i="11" s="1"/>
  <c r="AJ157" i="11"/>
  <c r="AK157" i="11" s="1"/>
  <c r="AL157" i="11" s="1"/>
  <c r="AG157" i="11"/>
  <c r="AH157" i="11" s="1"/>
  <c r="AI157" i="11" s="1"/>
  <c r="AJ158" i="11"/>
  <c r="AK158" i="11" s="1"/>
  <c r="AL158" i="11" s="1"/>
  <c r="AG158" i="11"/>
  <c r="AH158" i="11" s="1"/>
  <c r="AI158" i="11" s="1"/>
  <c r="AJ159" i="11"/>
  <c r="AK159" i="11" s="1"/>
  <c r="AL159" i="11" s="1"/>
  <c r="AG159" i="11"/>
  <c r="AH159" i="11" s="1"/>
  <c r="AI159" i="11" s="1"/>
  <c r="AJ160" i="11"/>
  <c r="AK160" i="11" s="1"/>
  <c r="AL160" i="11" s="1"/>
  <c r="AG160" i="11"/>
  <c r="AH160" i="11" s="1"/>
  <c r="AI160" i="11" s="1"/>
  <c r="AJ161" i="11"/>
  <c r="AK161" i="11" s="1"/>
  <c r="AL161" i="11" s="1"/>
  <c r="AG161" i="11"/>
  <c r="AH161" i="11" s="1"/>
  <c r="AI161" i="11" s="1"/>
  <c r="AJ162" i="11"/>
  <c r="AK162" i="11" s="1"/>
  <c r="AL162" i="11" s="1"/>
  <c r="AG162" i="11"/>
  <c r="AH162" i="11" s="1"/>
  <c r="AI162" i="11" s="1"/>
  <c r="AJ163" i="11"/>
  <c r="AK163" i="11" s="1"/>
  <c r="AL163" i="11" s="1"/>
  <c r="AG163" i="11"/>
  <c r="AH163" i="11" s="1"/>
  <c r="AI163" i="11" s="1"/>
  <c r="AJ164" i="11"/>
  <c r="AK164" i="11" s="1"/>
  <c r="AL164" i="11" s="1"/>
  <c r="AG164" i="11"/>
  <c r="AH164" i="11" s="1"/>
  <c r="AI164" i="11" s="1"/>
  <c r="AJ165" i="11"/>
  <c r="AK165" i="11" s="1"/>
  <c r="AL165" i="11" s="1"/>
  <c r="AG165" i="11"/>
  <c r="AH165" i="11" s="1"/>
  <c r="AI165" i="11" s="1"/>
  <c r="AJ166" i="11"/>
  <c r="AK166" i="11" s="1"/>
  <c r="AL166" i="11" s="1"/>
  <c r="AG166" i="11"/>
  <c r="AH166" i="11" s="1"/>
  <c r="AI166" i="11" s="1"/>
  <c r="AJ167" i="11"/>
  <c r="AK167" i="11" s="1"/>
  <c r="AL167" i="11" s="1"/>
  <c r="AG167" i="11"/>
  <c r="AH167" i="11" s="1"/>
  <c r="AI167" i="11" s="1"/>
  <c r="AG119" i="11"/>
  <c r="AH119" i="11" s="1"/>
  <c r="AI119" i="11" s="1"/>
  <c r="AJ119" i="11"/>
  <c r="AK119" i="11" s="1"/>
  <c r="AL119" i="11" s="1"/>
  <c r="AG130" i="11"/>
  <c r="AH130" i="11" s="1"/>
  <c r="AI130" i="11" s="1"/>
  <c r="AJ130" i="11"/>
  <c r="AK130" i="11" s="1"/>
  <c r="AL130" i="11" s="1"/>
  <c r="AG134" i="11"/>
  <c r="AH134" i="11" s="1"/>
  <c r="AI134" i="11" s="1"/>
  <c r="AJ134" i="11"/>
  <c r="AK134" i="11" s="1"/>
  <c r="AL134" i="11" s="1"/>
  <c r="AG138" i="11"/>
  <c r="AH138" i="11" s="1"/>
  <c r="AI138" i="11" s="1"/>
  <c r="AJ138" i="11"/>
  <c r="AK138" i="11" s="1"/>
  <c r="AL138" i="11" s="1"/>
  <c r="AG121" i="11"/>
  <c r="AH121" i="11" s="1"/>
  <c r="AI121" i="11" s="1"/>
  <c r="AJ121" i="11"/>
  <c r="AK121" i="11" s="1"/>
  <c r="AL121" i="11" s="1"/>
  <c r="AG124" i="11"/>
  <c r="AH124" i="11" s="1"/>
  <c r="AI124" i="11" s="1"/>
  <c r="AJ124" i="11"/>
  <c r="AK124" i="11" s="1"/>
  <c r="AL124" i="11" s="1"/>
  <c r="AG128" i="11"/>
  <c r="AH128" i="11" s="1"/>
  <c r="AI128" i="11" s="1"/>
  <c r="AJ128" i="11"/>
  <c r="AK128" i="11" s="1"/>
  <c r="AL128" i="11" s="1"/>
  <c r="AG132" i="11"/>
  <c r="AH132" i="11" s="1"/>
  <c r="AI132" i="11" s="1"/>
  <c r="AJ132" i="11"/>
  <c r="AK132" i="11" s="1"/>
  <c r="AL132" i="11" s="1"/>
  <c r="AG136" i="11"/>
  <c r="AH136" i="11" s="1"/>
  <c r="AI136" i="11" s="1"/>
  <c r="AJ136" i="11"/>
  <c r="AK136" i="11" s="1"/>
  <c r="AL136" i="11" s="1"/>
  <c r="D546" i="11"/>
  <c r="G45" i="10" s="1"/>
  <c r="H173" i="11"/>
  <c r="I174" i="11"/>
  <c r="P15" i="4" s="1"/>
  <c r="O15" i="4" s="1"/>
  <c r="H180" i="11"/>
  <c r="H181" i="11"/>
  <c r="I182" i="11"/>
  <c r="P23" i="4" s="1"/>
  <c r="O23" i="4" s="1"/>
  <c r="H188" i="11"/>
  <c r="H189" i="11"/>
  <c r="I190" i="11"/>
  <c r="P31" i="4" s="1"/>
  <c r="O31" i="4" s="1"/>
  <c r="AG656" i="11"/>
  <c r="AG658" i="11"/>
  <c r="AG660" i="11"/>
  <c r="AG662" i="11"/>
  <c r="F63" i="10"/>
  <c r="F63" i="9"/>
  <c r="F39" i="10"/>
  <c r="I53" i="10"/>
  <c r="F55" i="10"/>
  <c r="D547" i="11"/>
  <c r="G47" i="10" s="1"/>
  <c r="I61" i="10"/>
  <c r="I61" i="9"/>
  <c r="AM664" i="11"/>
  <c r="G47" i="9" s="1"/>
  <c r="AG652" i="11"/>
  <c r="I30" i="2"/>
  <c r="G532" i="11"/>
  <c r="AP661" i="11"/>
  <c r="AN665" i="11"/>
  <c r="G57" i="9" s="1"/>
  <c r="I32" i="2"/>
  <c r="E532" i="11"/>
  <c r="D544" i="11"/>
  <c r="AM665" i="11"/>
  <c r="G49" i="9" s="1"/>
  <c r="G3" i="9"/>
  <c r="H40" i="2"/>
  <c r="AG644" i="11"/>
  <c r="AG648" i="11"/>
  <c r="Q121" i="11"/>
  <c r="AG665" i="11"/>
  <c r="Q122" i="11"/>
  <c r="AG642" i="11"/>
  <c r="AG646" i="11"/>
  <c r="Q120" i="11"/>
  <c r="AG650" i="11"/>
  <c r="I172" i="11"/>
  <c r="P13" i="4" s="1"/>
  <c r="O13" i="4" s="1"/>
  <c r="H172" i="11"/>
  <c r="P12" i="4"/>
  <c r="O12" i="4" s="1"/>
  <c r="I31" i="2"/>
  <c r="G5" i="9"/>
  <c r="I53" i="9"/>
  <c r="Q137" i="11"/>
  <c r="AN137" i="11" s="1"/>
  <c r="Q155" i="11"/>
  <c r="AN155" i="11" s="1"/>
  <c r="Q163" i="11"/>
  <c r="AN163" i="11" s="1"/>
  <c r="G503" i="11"/>
  <c r="E546" i="11"/>
  <c r="G53" i="10" s="1"/>
  <c r="E547" i="11"/>
  <c r="G55" i="10" s="1"/>
  <c r="E548" i="11"/>
  <c r="G57" i="10" s="1"/>
  <c r="Q119" i="11"/>
  <c r="Q123" i="11"/>
  <c r="Q125" i="11"/>
  <c r="Q129" i="11"/>
  <c r="Q133" i="11"/>
  <c r="AN133" i="11" s="1"/>
  <c r="Q136" i="11"/>
  <c r="AN136" i="11" s="1"/>
  <c r="Q149" i="11"/>
  <c r="Q157" i="11"/>
  <c r="AN157" i="11" s="1"/>
  <c r="Q165" i="11"/>
  <c r="AN165" i="11" s="1"/>
  <c r="F548" i="11"/>
  <c r="G65" i="10" s="1"/>
  <c r="F547" i="11"/>
  <c r="G63" i="10" s="1"/>
  <c r="F546" i="11"/>
  <c r="G61" i="10" s="1"/>
  <c r="Q124" i="11"/>
  <c r="Q126" i="11"/>
  <c r="Q128" i="11"/>
  <c r="Q130" i="11"/>
  <c r="Q132" i="11"/>
  <c r="AN132" i="11" s="1"/>
  <c r="Q151" i="11"/>
  <c r="Q159" i="11"/>
  <c r="AN159" i="11" s="1"/>
  <c r="I175" i="11"/>
  <c r="P16" i="4" s="1"/>
  <c r="O16" i="4" s="1"/>
  <c r="H175" i="11"/>
  <c r="I179" i="11"/>
  <c r="P20" i="4" s="1"/>
  <c r="O20" i="4" s="1"/>
  <c r="H179" i="11"/>
  <c r="I183" i="11"/>
  <c r="P24" i="4" s="1"/>
  <c r="O24" i="4" s="1"/>
  <c r="H183" i="11"/>
  <c r="I187" i="11"/>
  <c r="P28" i="4" s="1"/>
  <c r="O28" i="4" s="1"/>
  <c r="H187" i="11"/>
  <c r="I191" i="11"/>
  <c r="P32" i="4" s="1"/>
  <c r="O32" i="4" s="1"/>
  <c r="H191" i="11"/>
  <c r="AD635" i="11"/>
  <c r="AD638" i="11" s="1"/>
  <c r="Q166" i="11"/>
  <c r="AN166" i="11" s="1"/>
  <c r="Q164" i="11"/>
  <c r="AN164" i="11" s="1"/>
  <c r="Q162" i="11"/>
  <c r="AN162" i="11" s="1"/>
  <c r="Q160" i="11"/>
  <c r="AN160" i="11" s="1"/>
  <c r="Q158" i="11"/>
  <c r="AN158" i="11" s="1"/>
  <c r="Q156" i="11"/>
  <c r="AN156" i="11" s="1"/>
  <c r="Q154" i="11"/>
  <c r="AN154" i="11" s="1"/>
  <c r="Q152" i="11"/>
  <c r="AN152" i="11" s="1"/>
  <c r="Q150" i="11"/>
  <c r="Q139" i="11"/>
  <c r="AN139" i="11" s="1"/>
  <c r="Q135" i="11"/>
  <c r="Q131" i="11"/>
  <c r="AN131" i="11" s="1"/>
  <c r="Q127" i="11"/>
  <c r="Q138" i="11"/>
  <c r="AN138" i="11" s="1"/>
  <c r="Q134" i="11"/>
  <c r="AN134" i="11" s="1"/>
  <c r="Q153" i="11"/>
  <c r="AN153" i="11" s="1"/>
  <c r="Q161" i="11"/>
  <c r="AN161" i="11" s="1"/>
  <c r="Q167" i="11"/>
  <c r="AN167" i="11" s="1"/>
  <c r="K174" i="11"/>
  <c r="L174" i="11" s="1"/>
  <c r="M174" i="11" s="1"/>
  <c r="K178" i="11"/>
  <c r="L178" i="11" s="1"/>
  <c r="M178" i="11" s="1"/>
  <c r="K182" i="11"/>
  <c r="L182" i="11" s="1"/>
  <c r="M182" i="11" s="1"/>
  <c r="K186" i="11"/>
  <c r="L186" i="11" s="1"/>
  <c r="M186" i="11" s="1"/>
  <c r="K190" i="11"/>
  <c r="L190" i="11" s="1"/>
  <c r="M190" i="11" s="1"/>
  <c r="AO665" i="11"/>
  <c r="G65" i="9" s="1"/>
  <c r="AO664" i="11"/>
  <c r="G63" i="9" s="1"/>
  <c r="AO663" i="11"/>
  <c r="G61" i="9" s="1"/>
  <c r="F650" i="11"/>
  <c r="V650" i="11" s="1"/>
  <c r="W650" i="11" s="1"/>
  <c r="F532" i="11"/>
  <c r="D565" i="11"/>
  <c r="E564" i="11" s="1"/>
  <c r="AG643" i="11"/>
  <c r="AG645" i="11"/>
  <c r="AG647" i="11"/>
  <c r="AG649" i="11"/>
  <c r="AM663" i="11"/>
  <c r="G45" i="9" s="1"/>
  <c r="AG664" i="11"/>
  <c r="L51" i="6" s="1"/>
  <c r="AG666" i="11"/>
  <c r="AG672" i="11"/>
  <c r="AG675" i="11"/>
  <c r="AG676" i="11"/>
  <c r="AG679" i="11"/>
  <c r="AG680" i="11"/>
  <c r="AG683" i="11"/>
  <c r="AM649" i="11"/>
  <c r="AG654" i="11"/>
  <c r="AN649" i="11"/>
  <c r="AN664" i="11"/>
  <c r="G55" i="9" s="1"/>
  <c r="AN663" i="11"/>
  <c r="G53" i="9" s="1"/>
  <c r="AG653" i="11"/>
  <c r="AG671" i="11"/>
  <c r="AO661" i="11"/>
  <c r="O30" i="4" l="1"/>
  <c r="H72" i="9" s="1"/>
  <c r="H73" i="9" s="1"/>
  <c r="G72" i="10"/>
  <c r="G73" i="10" s="1"/>
  <c r="G74" i="10" s="1"/>
  <c r="G75" i="10" s="1"/>
  <c r="F72" i="10"/>
  <c r="AH149" i="11"/>
  <c r="AI149" i="11" s="1"/>
  <c r="AK149" i="11"/>
  <c r="AL149" i="11" s="1"/>
  <c r="T68" i="3"/>
  <c r="U68" i="3"/>
  <c r="AP168" i="11" s="1"/>
  <c r="E671" i="11"/>
  <c r="E81" i="9" s="1"/>
  <c r="N80" i="9"/>
  <c r="K14" i="5"/>
  <c r="M14" i="5" s="1"/>
  <c r="H26" i="9" s="1"/>
  <c r="AL659" i="11" s="1"/>
  <c r="H72" i="10"/>
  <c r="O17" i="4"/>
  <c r="M18" i="5"/>
  <c r="H26" i="10" s="1"/>
  <c r="D542" i="11" s="1"/>
  <c r="R148" i="11"/>
  <c r="AH118" i="11"/>
  <c r="AI118" i="11" s="1"/>
  <c r="AO167" i="11"/>
  <c r="AO154" i="11"/>
  <c r="AO161" i="11"/>
  <c r="AO156" i="11"/>
  <c r="AO164" i="11"/>
  <c r="AO157" i="11"/>
  <c r="AO163" i="11"/>
  <c r="AO165" i="11"/>
  <c r="AO153" i="11"/>
  <c r="AO158" i="11"/>
  <c r="AO166" i="11"/>
  <c r="AO159" i="11"/>
  <c r="AO155" i="11"/>
  <c r="AO162" i="11"/>
  <c r="AO152" i="11"/>
  <c r="AO160" i="11"/>
  <c r="F47" i="10"/>
  <c r="F47" i="9"/>
  <c r="AH664" i="11"/>
  <c r="D566" i="11"/>
  <c r="D567" i="11" s="1"/>
  <c r="AF641" i="11"/>
  <c r="AD637" i="11"/>
  <c r="Q16" i="4"/>
  <c r="I72" i="9" l="1"/>
  <c r="I73" i="9" s="1"/>
  <c r="I74" i="9" s="1"/>
  <c r="I75" i="9" s="1"/>
  <c r="Q12" i="4"/>
  <c r="H25" i="9" s="1"/>
  <c r="AM659" i="11" s="1"/>
  <c r="F73" i="10"/>
  <c r="E672" i="11"/>
  <c r="E82" i="9" s="1"/>
  <c r="N81" i="9"/>
  <c r="G76" i="10"/>
  <c r="G77" i="10" s="1"/>
  <c r="G78" i="10" s="1"/>
  <c r="H73" i="10"/>
  <c r="J72" i="10"/>
  <c r="H74" i="9"/>
  <c r="H75" i="9" s="1"/>
  <c r="H76" i="9" s="1"/>
  <c r="O171" i="11"/>
  <c r="H25" i="10"/>
  <c r="R151" i="11"/>
  <c r="AN151" i="11" s="1"/>
  <c r="AO151" i="11" s="1"/>
  <c r="N51" i="3" s="1"/>
  <c r="N66" i="3"/>
  <c r="R166" i="11"/>
  <c r="N61" i="3"/>
  <c r="R161" i="11"/>
  <c r="N52" i="3"/>
  <c r="R152" i="11"/>
  <c r="N53" i="3"/>
  <c r="R153" i="11"/>
  <c r="N67" i="3"/>
  <c r="R167" i="11"/>
  <c r="AN148" i="11"/>
  <c r="AO148" i="11" s="1"/>
  <c r="N62" i="3"/>
  <c r="R162" i="11"/>
  <c r="N63" i="3"/>
  <c r="R163" i="11"/>
  <c r="N60" i="3"/>
  <c r="R160" i="11"/>
  <c r="N55" i="3"/>
  <c r="R155" i="11"/>
  <c r="N58" i="3"/>
  <c r="R158" i="11"/>
  <c r="N57" i="3"/>
  <c r="R157" i="11"/>
  <c r="N54" i="3"/>
  <c r="R154" i="11"/>
  <c r="N64" i="3"/>
  <c r="R164" i="11"/>
  <c r="R150" i="11"/>
  <c r="AN150" i="11" s="1"/>
  <c r="AO150" i="11" s="1"/>
  <c r="N50" i="3" s="1"/>
  <c r="N59" i="3"/>
  <c r="R159" i="11"/>
  <c r="N65" i="3"/>
  <c r="R165" i="11"/>
  <c r="N56" i="3"/>
  <c r="R156" i="11"/>
  <c r="R149" i="11"/>
  <c r="R125" i="11"/>
  <c r="R127" i="11"/>
  <c r="R132" i="11"/>
  <c r="AO132" i="11"/>
  <c r="M32" i="3" s="1"/>
  <c r="R118" i="11"/>
  <c r="R129" i="11"/>
  <c r="R139" i="11"/>
  <c r="AO139" i="11"/>
  <c r="M39" i="3" s="1"/>
  <c r="R122" i="11"/>
  <c r="R124" i="11"/>
  <c r="R137" i="11"/>
  <c r="AO137" i="11"/>
  <c r="M37" i="3" s="1"/>
  <c r="R136" i="11"/>
  <c r="AO136" i="11"/>
  <c r="M36" i="3" s="1"/>
  <c r="R131" i="11"/>
  <c r="AO131" i="11"/>
  <c r="M31" i="3" s="1"/>
  <c r="R121" i="11"/>
  <c r="R128" i="11"/>
  <c r="R119" i="11"/>
  <c r="R138" i="11"/>
  <c r="AO138" i="11"/>
  <c r="M38" i="3" s="1"/>
  <c r="R120" i="11"/>
  <c r="R130" i="11"/>
  <c r="R133" i="11"/>
  <c r="AO133" i="11"/>
  <c r="M33" i="3" s="1"/>
  <c r="R135" i="11"/>
  <c r="AN135" i="11" s="1"/>
  <c r="AO135" i="11" s="1"/>
  <c r="M35" i="3" s="1"/>
  <c r="R123" i="11"/>
  <c r="R126" i="11"/>
  <c r="R134" i="11"/>
  <c r="AO134" i="11"/>
  <c r="M34" i="3" s="1"/>
  <c r="E565" i="11"/>
  <c r="D568" i="11"/>
  <c r="D569" i="11" s="1"/>
  <c r="AG641" i="11"/>
  <c r="AH641" i="11" s="1"/>
  <c r="AH685" i="11" s="1"/>
  <c r="I76" i="9" l="1"/>
  <c r="I77" i="9" s="1"/>
  <c r="I78" i="9" s="1"/>
  <c r="I79" i="9" s="1"/>
  <c r="F74" i="10"/>
  <c r="E673" i="11"/>
  <c r="E674" i="11" s="1"/>
  <c r="N82" i="9"/>
  <c r="J73" i="10"/>
  <c r="H74" i="10"/>
  <c r="H75" i="10" s="1"/>
  <c r="G79" i="10"/>
  <c r="G80" i="10" s="1"/>
  <c r="H77" i="9"/>
  <c r="N48" i="3"/>
  <c r="E542" i="11"/>
  <c r="K21" i="6"/>
  <c r="AN130" i="11"/>
  <c r="AO130" i="11" s="1"/>
  <c r="M30" i="3" s="1"/>
  <c r="AN119" i="11"/>
  <c r="AO119" i="11" s="1"/>
  <c r="AN120" i="11"/>
  <c r="AO120" i="11" s="1"/>
  <c r="AN128" i="11"/>
  <c r="AO128" i="11" s="1"/>
  <c r="M28" i="3" s="1"/>
  <c r="AN124" i="11"/>
  <c r="AO124" i="11" s="1"/>
  <c r="M24" i="3" s="1"/>
  <c r="AN129" i="11"/>
  <c r="AO129" i="11" s="1"/>
  <c r="M29" i="3" s="1"/>
  <c r="AN127" i="11"/>
  <c r="AO127" i="11" s="1"/>
  <c r="M27" i="3" s="1"/>
  <c r="AN123" i="11"/>
  <c r="AO123" i="11" s="1"/>
  <c r="M23" i="3" s="1"/>
  <c r="AN149" i="11"/>
  <c r="AO149" i="11" s="1"/>
  <c r="N49" i="3" s="1"/>
  <c r="AO126" i="11"/>
  <c r="M26" i="3" s="1"/>
  <c r="AN126" i="11"/>
  <c r="AN121" i="11"/>
  <c r="AO121" i="11" s="1"/>
  <c r="M21" i="3" s="1"/>
  <c r="AO122" i="11"/>
  <c r="M22" i="3" s="1"/>
  <c r="AN122" i="11"/>
  <c r="AN118" i="11"/>
  <c r="AO118" i="11" s="1"/>
  <c r="AN125" i="11"/>
  <c r="AO125" i="11" s="1"/>
  <c r="M25" i="3" s="1"/>
  <c r="E566" i="11"/>
  <c r="D570" i="11"/>
  <c r="G72" i="9" l="1"/>
  <c r="G73" i="9" s="1"/>
  <c r="G74" i="9" s="1"/>
  <c r="F75" i="10"/>
  <c r="F76" i="10" s="1"/>
  <c r="F77" i="10" s="1"/>
  <c r="E83" i="9"/>
  <c r="N83" i="9" s="1"/>
  <c r="H76" i="10"/>
  <c r="J74" i="10"/>
  <c r="G81" i="10"/>
  <c r="E675" i="11"/>
  <c r="E84" i="9"/>
  <c r="I80" i="9"/>
  <c r="I81" i="9" s="1"/>
  <c r="E567" i="11"/>
  <c r="H78" i="9"/>
  <c r="H79" i="9" s="1"/>
  <c r="N68" i="3"/>
  <c r="V48" i="3" s="1"/>
  <c r="H24" i="9" s="1"/>
  <c r="AN659" i="11" s="1"/>
  <c r="H29" i="9"/>
  <c r="H17" i="9" s="1"/>
  <c r="AN654" i="11" s="1"/>
  <c r="O68" i="3"/>
  <c r="AO168" i="11" s="1"/>
  <c r="AR148" i="11" s="1"/>
  <c r="M20" i="3"/>
  <c r="M19" i="3"/>
  <c r="AQ118" i="11"/>
  <c r="M18" i="3"/>
  <c r="E568" i="11"/>
  <c r="D571" i="11"/>
  <c r="J75" i="10" l="1"/>
  <c r="J76" i="10"/>
  <c r="F78" i="10"/>
  <c r="F79" i="10" s="1"/>
  <c r="F80" i="10" s="1"/>
  <c r="N84" i="9"/>
  <c r="H77" i="10"/>
  <c r="J77" i="10" s="1"/>
  <c r="G82" i="10"/>
  <c r="E676" i="11"/>
  <c r="E85" i="9"/>
  <c r="I82" i="9"/>
  <c r="H80" i="9"/>
  <c r="H81" i="9" s="1"/>
  <c r="F72" i="9"/>
  <c r="K72" i="9" s="1"/>
  <c r="P72" i="9" s="1"/>
  <c r="G75" i="9"/>
  <c r="G76" i="9" s="1"/>
  <c r="V53" i="3"/>
  <c r="H24" i="10" s="1"/>
  <c r="F542" i="11" s="1"/>
  <c r="O22" i="3"/>
  <c r="H23" i="10" s="1"/>
  <c r="O18" i="3"/>
  <c r="H23" i="9" s="1"/>
  <c r="E569" i="11"/>
  <c r="D572" i="11"/>
  <c r="F81" i="10" l="1"/>
  <c r="N85" i="9"/>
  <c r="H78" i="10"/>
  <c r="H79" i="10" s="1"/>
  <c r="G83" i="10"/>
  <c r="F73" i="9"/>
  <c r="K73" i="9" s="1"/>
  <c r="P73" i="9" s="1"/>
  <c r="E677" i="11"/>
  <c r="E86" i="9"/>
  <c r="I83" i="9"/>
  <c r="I84" i="9" s="1"/>
  <c r="I85" i="9" s="1"/>
  <c r="I86" i="9" s="1"/>
  <c r="G542" i="11"/>
  <c r="G541" i="11" s="1"/>
  <c r="H27" i="10"/>
  <c r="H82" i="9"/>
  <c r="H83" i="9" s="1"/>
  <c r="G77" i="9"/>
  <c r="G78" i="9" s="1"/>
  <c r="O92" i="3"/>
  <c r="O91" i="3"/>
  <c r="E570" i="11"/>
  <c r="D573" i="11"/>
  <c r="F82" i="10" l="1"/>
  <c r="N86" i="9"/>
  <c r="F74" i="9"/>
  <c r="K74" i="9" s="1"/>
  <c r="P74" i="9" s="1"/>
  <c r="J78" i="10"/>
  <c r="H80" i="10"/>
  <c r="J79" i="10"/>
  <c r="G84" i="10"/>
  <c r="D541" i="11"/>
  <c r="F541" i="11"/>
  <c r="E541" i="11"/>
  <c r="E678" i="11"/>
  <c r="E87" i="9"/>
  <c r="I87" i="9" s="1"/>
  <c r="H84" i="9"/>
  <c r="G79" i="9"/>
  <c r="G80" i="9" s="1"/>
  <c r="G81" i="9" s="1"/>
  <c r="H16" i="10"/>
  <c r="D537" i="11" s="1"/>
  <c r="AO659" i="11"/>
  <c r="H27" i="9"/>
  <c r="E571" i="11"/>
  <c r="D574" i="11"/>
  <c r="F83" i="10" l="1"/>
  <c r="N87" i="9"/>
  <c r="F75" i="9"/>
  <c r="K75" i="9" s="1"/>
  <c r="P75" i="9" s="1"/>
  <c r="J80" i="10"/>
  <c r="H81" i="10"/>
  <c r="G85" i="10"/>
  <c r="E679" i="11"/>
  <c r="E88" i="9"/>
  <c r="I88" i="9" s="1"/>
  <c r="H85" i="9"/>
  <c r="G82" i="9"/>
  <c r="H31" i="9"/>
  <c r="H19" i="9" s="1"/>
  <c r="H16" i="9"/>
  <c r="AM654" i="11" s="1"/>
  <c r="AO658" i="11"/>
  <c r="AL658" i="11"/>
  <c r="AM658" i="11"/>
  <c r="AN658" i="11"/>
  <c r="E572" i="11"/>
  <c r="D575" i="11"/>
  <c r="I68" i="7" l="1"/>
  <c r="I40" i="7"/>
  <c r="F84" i="10"/>
  <c r="I49" i="7"/>
  <c r="I41" i="7"/>
  <c r="I33" i="7"/>
  <c r="I20" i="7"/>
  <c r="J20" i="7" s="1"/>
  <c r="J37" i="7"/>
  <c r="F76" i="9"/>
  <c r="K76" i="9" s="1"/>
  <c r="P76" i="9" s="1"/>
  <c r="N88" i="9"/>
  <c r="H82" i="10"/>
  <c r="J81" i="10"/>
  <c r="G86" i="10"/>
  <c r="E680" i="11"/>
  <c r="E89" i="9"/>
  <c r="I89" i="9" s="1"/>
  <c r="H86" i="9"/>
  <c r="G83" i="9"/>
  <c r="AN636" i="11"/>
  <c r="K21" i="2" s="1"/>
  <c r="AP650" i="11"/>
  <c r="AP662" i="11" s="1"/>
  <c r="E573" i="11"/>
  <c r="D576" i="11"/>
  <c r="J68" i="7" l="1"/>
  <c r="F503" i="11"/>
  <c r="J40" i="7"/>
  <c r="F243" i="11"/>
  <c r="N72" i="10"/>
  <c r="F77" i="9"/>
  <c r="F78" i="9" s="1"/>
  <c r="K78" i="9" s="1"/>
  <c r="P78" i="9" s="1"/>
  <c r="F85" i="10"/>
  <c r="J49" i="7"/>
  <c r="F484" i="11"/>
  <c r="J41" i="7"/>
  <c r="F244" i="11"/>
  <c r="F223" i="11"/>
  <c r="J33" i="7"/>
  <c r="F236" i="11"/>
  <c r="N89" i="9"/>
  <c r="H83" i="10"/>
  <c r="J82" i="10"/>
  <c r="G87" i="10"/>
  <c r="E681" i="11"/>
  <c r="E90" i="9"/>
  <c r="I90" i="9" s="1"/>
  <c r="H87" i="9"/>
  <c r="G84" i="9"/>
  <c r="AP664" i="11"/>
  <c r="AP665" i="11"/>
  <c r="AP663" i="11"/>
  <c r="E574" i="11"/>
  <c r="D577" i="11"/>
  <c r="AF420" i="11"/>
  <c r="AE344" i="11"/>
  <c r="AE324" i="11"/>
  <c r="AF294" i="11"/>
  <c r="AE300" i="11"/>
  <c r="AF317" i="11"/>
  <c r="AE291" i="11"/>
  <c r="AF417" i="11"/>
  <c r="AE405" i="11"/>
  <c r="AE378" i="11"/>
  <c r="AE444" i="11"/>
  <c r="AF447" i="11"/>
  <c r="AF414" i="11"/>
  <c r="AF439" i="11"/>
  <c r="AF261" i="11"/>
  <c r="AF274" i="11"/>
  <c r="AE293" i="11"/>
  <c r="AF418" i="11"/>
  <c r="AE261" i="11"/>
  <c r="AE312" i="11"/>
  <c r="AF427" i="11"/>
  <c r="AE401" i="11"/>
  <c r="AE328" i="11"/>
  <c r="AF263" i="11"/>
  <c r="AE310" i="11"/>
  <c r="AE321" i="11"/>
  <c r="AE429" i="11"/>
  <c r="AE439" i="11"/>
  <c r="AF336" i="11"/>
  <c r="AE463" i="11"/>
  <c r="AF455" i="11"/>
  <c r="AF386" i="11"/>
  <c r="AF280" i="11"/>
  <c r="AE232" i="11"/>
  <c r="AF278" i="11"/>
  <c r="AF377" i="11"/>
  <c r="AF365" i="11"/>
  <c r="AE392" i="11"/>
  <c r="AF256" i="11"/>
  <c r="AF273" i="11"/>
  <c r="AE372" i="11"/>
  <c r="AE362" i="11"/>
  <c r="AE299" i="11"/>
  <c r="AE452" i="11"/>
  <c r="AF456" i="11"/>
  <c r="AF407" i="11"/>
  <c r="AF296" i="11"/>
  <c r="AF426" i="11"/>
  <c r="AF253" i="11"/>
  <c r="AF254" i="11"/>
  <c r="AF275" i="11"/>
  <c r="AE383" i="11"/>
  <c r="AE424" i="11"/>
  <c r="AE377" i="11"/>
  <c r="AE240" i="11"/>
  <c r="AE389" i="11"/>
  <c r="AF346" i="11"/>
  <c r="AF438" i="11"/>
  <c r="AE296" i="11"/>
  <c r="AF431" i="11"/>
  <c r="AF265" i="11"/>
  <c r="AE257" i="11"/>
  <c r="AF444" i="11"/>
  <c r="AF233" i="11"/>
  <c r="AE418" i="11"/>
  <c r="AF464" i="11"/>
  <c r="AF467" i="11"/>
  <c r="AF260" i="11"/>
  <c r="AE467" i="11"/>
  <c r="AE404" i="11"/>
  <c r="AF422" i="11"/>
  <c r="AF243" i="11"/>
  <c r="AF311" i="11"/>
  <c r="AE223" i="11"/>
  <c r="AE244" i="11"/>
  <c r="AE307" i="11"/>
  <c r="AF305" i="11"/>
  <c r="AF270" i="11"/>
  <c r="AE356" i="11"/>
  <c r="AE224" i="11"/>
  <c r="AE272" i="11"/>
  <c r="AF329" i="11"/>
  <c r="AE326" i="11"/>
  <c r="AE327" i="11"/>
  <c r="AF301" i="11"/>
  <c r="AF299" i="11"/>
  <c r="AE241" i="11"/>
  <c r="AE453" i="11"/>
  <c r="AE364" i="11"/>
  <c r="AE454" i="11"/>
  <c r="AF399" i="11"/>
  <c r="AE298" i="11"/>
  <c r="AE412" i="11"/>
  <c r="AF409" i="11"/>
  <c r="AE311" i="11"/>
  <c r="AE360" i="11"/>
  <c r="AF315" i="11"/>
  <c r="AE229" i="11"/>
  <c r="AE268" i="11"/>
  <c r="AE353" i="11"/>
  <c r="AE340" i="11"/>
  <c r="AE371" i="11"/>
  <c r="AE348" i="11"/>
  <c r="AE242" i="11"/>
  <c r="AE285" i="11"/>
  <c r="AF276" i="11"/>
  <c r="AF226" i="11"/>
  <c r="AE414" i="11"/>
  <c r="AE290" i="11"/>
  <c r="AF440" i="11"/>
  <c r="AF441" i="11"/>
  <c r="AE267" i="11"/>
  <c r="AE407" i="11"/>
  <c r="AF358" i="11"/>
  <c r="AF332" i="11"/>
  <c r="AF290" i="11"/>
  <c r="AF328" i="11"/>
  <c r="AF350" i="11"/>
  <c r="AF453" i="11"/>
  <c r="AE446" i="11"/>
  <c r="AE363" i="11"/>
  <c r="AE385" i="11"/>
  <c r="AE388" i="11"/>
  <c r="AE335" i="11"/>
  <c r="AF400" i="11"/>
  <c r="AE281" i="11"/>
  <c r="AE251" i="11"/>
  <c r="AE338" i="11"/>
  <c r="AF446" i="11"/>
  <c r="AF429" i="11"/>
  <c r="AE458" i="11"/>
  <c r="AF277" i="11"/>
  <c r="AE352" i="11"/>
  <c r="AE368" i="11"/>
  <c r="AF396" i="11"/>
  <c r="AE238" i="11"/>
  <c r="AF339" i="11"/>
  <c r="AE367" i="11"/>
  <c r="AF338" i="11"/>
  <c r="AE350" i="11"/>
  <c r="AE286" i="11"/>
  <c r="AF304" i="11"/>
  <c r="AE266" i="11"/>
  <c r="AF289" i="11"/>
  <c r="AE432" i="11"/>
  <c r="AE438" i="11"/>
  <c r="AE301" i="11"/>
  <c r="AF451" i="11"/>
  <c r="AF268" i="11"/>
  <c r="AE365" i="11"/>
  <c r="AE382" i="11"/>
  <c r="AE366" i="11"/>
  <c r="AF227" i="11"/>
  <c r="AF298" i="11"/>
  <c r="AF258" i="11"/>
  <c r="AE325" i="11"/>
  <c r="AF435" i="11"/>
  <c r="AE359" i="11"/>
  <c r="AE400" i="11"/>
  <c r="AF302" i="11"/>
  <c r="AF403" i="11"/>
  <c r="AF331" i="11"/>
  <c r="AE450" i="11"/>
  <c r="AE380" i="11"/>
  <c r="AE269" i="11"/>
  <c r="AF415" i="11"/>
  <c r="AF428" i="11"/>
  <c r="AF384" i="11"/>
  <c r="AF286" i="11"/>
  <c r="AF282" i="11"/>
  <c r="AE253" i="11"/>
  <c r="AE339" i="11"/>
  <c r="AE391" i="11"/>
  <c r="AF376" i="11"/>
  <c r="AE411" i="11"/>
  <c r="AE262" i="11"/>
  <c r="AE408" i="11"/>
  <c r="AF249" i="11"/>
  <c r="AE341" i="11"/>
  <c r="AF323" i="11"/>
  <c r="AF343" i="11"/>
  <c r="AE375" i="11"/>
  <c r="AE395" i="11"/>
  <c r="AF413" i="11"/>
  <c r="AE249" i="11"/>
  <c r="AF237" i="11"/>
  <c r="AF269" i="11"/>
  <c r="AE413" i="11"/>
  <c r="AE397" i="11"/>
  <c r="AF272" i="11"/>
  <c r="AE315" i="11"/>
  <c r="AF239" i="11"/>
  <c r="AF229" i="11"/>
  <c r="AF341" i="11"/>
  <c r="AF257" i="11"/>
  <c r="AF404" i="11"/>
  <c r="AE355" i="11"/>
  <c r="AF389" i="11"/>
  <c r="AF370" i="11"/>
  <c r="AE464" i="11"/>
  <c r="AF325" i="11"/>
  <c r="AE430" i="11"/>
  <c r="AF225" i="11"/>
  <c r="AE449" i="11"/>
  <c r="AE331" i="11"/>
  <c r="AE396" i="11"/>
  <c r="AE349" i="11"/>
  <c r="AF246" i="11"/>
  <c r="AF373" i="11"/>
  <c r="AF283" i="11"/>
  <c r="AF232" i="11"/>
  <c r="AF357" i="11"/>
  <c r="AE442" i="11"/>
  <c r="AF359" i="11"/>
  <c r="AF318" i="11"/>
  <c r="AF297" i="11"/>
  <c r="AE409" i="11"/>
  <c r="AF337" i="11"/>
  <c r="AE457" i="11"/>
  <c r="AF411" i="11"/>
  <c r="AF223" i="11"/>
  <c r="AE225" i="11"/>
  <c r="AE373" i="11"/>
  <c r="AF412" i="11"/>
  <c r="AE332" i="11"/>
  <c r="AF382" i="11"/>
  <c r="AE243" i="11"/>
  <c r="AE419" i="11"/>
  <c r="AE403" i="11"/>
  <c r="AF394" i="11"/>
  <c r="AF395" i="11"/>
  <c r="AE460" i="11"/>
  <c r="AF432" i="11"/>
  <c r="AE390" i="11"/>
  <c r="AE288" i="11"/>
  <c r="AE260" i="11"/>
  <c r="AE306" i="11"/>
  <c r="AE304" i="11"/>
  <c r="AE289" i="11"/>
  <c r="AE394" i="11"/>
  <c r="AE236" i="11"/>
  <c r="AF401" i="11"/>
  <c r="AE274" i="11"/>
  <c r="AE440" i="11"/>
  <c r="AF421" i="11"/>
  <c r="AF371" i="11"/>
  <c r="AE428" i="11"/>
  <c r="AE427" i="11"/>
  <c r="AE465" i="11"/>
  <c r="AF408" i="11"/>
  <c r="AF387" i="11"/>
  <c r="AE435" i="11"/>
  <c r="AE279" i="11"/>
  <c r="AE318" i="11"/>
  <c r="AF284" i="11"/>
  <c r="AF379" i="11"/>
  <c r="AE316" i="11"/>
  <c r="AE448" i="11"/>
  <c r="AF374" i="11"/>
  <c r="AE402" i="11"/>
  <c r="AE282" i="11"/>
  <c r="AE431" i="11"/>
  <c r="AF266" i="11"/>
  <c r="AF271" i="11"/>
  <c r="AE283" i="11"/>
  <c r="AE369" i="11"/>
  <c r="AE323" i="11"/>
  <c r="AE248" i="11"/>
  <c r="AF385" i="11"/>
  <c r="AE357" i="11"/>
  <c r="AE271" i="11"/>
  <c r="AF434" i="11"/>
  <c r="AE308" i="11"/>
  <c r="AF281" i="11"/>
  <c r="AE259" i="11"/>
  <c r="AE447" i="11"/>
  <c r="AF228" i="11"/>
  <c r="AE443" i="11"/>
  <c r="AE287" i="11"/>
  <c r="AF354" i="11"/>
  <c r="AE334" i="11"/>
  <c r="AE417" i="11"/>
  <c r="AE426" i="11"/>
  <c r="AE234" i="11"/>
  <c r="AE292" i="11"/>
  <c r="AF340" i="11"/>
  <c r="AE462" i="11"/>
  <c r="AE399" i="11"/>
  <c r="AF264" i="11"/>
  <c r="AF458" i="11"/>
  <c r="AE252" i="11"/>
  <c r="AF402" i="11"/>
  <c r="AF356" i="11"/>
  <c r="AF410" i="11"/>
  <c r="AE317" i="11"/>
  <c r="AF230" i="11"/>
  <c r="AE276" i="11"/>
  <c r="AE423" i="11"/>
  <c r="AF312" i="11"/>
  <c r="AF251" i="11"/>
  <c r="AF433" i="11"/>
  <c r="AE387" i="11"/>
  <c r="AF241" i="11"/>
  <c r="AF295" i="11"/>
  <c r="AE451" i="11"/>
  <c r="AF369" i="11"/>
  <c r="AF360" i="11"/>
  <c r="AF353" i="11"/>
  <c r="AF347" i="11"/>
  <c r="AF436" i="11"/>
  <c r="AF236" i="11"/>
  <c r="AF321" i="11"/>
  <c r="AF460" i="11"/>
  <c r="AF367" i="11"/>
  <c r="AE386" i="11"/>
  <c r="AE313" i="11"/>
  <c r="AE278" i="11"/>
  <c r="AF461" i="11"/>
  <c r="AF309" i="11"/>
  <c r="AF314" i="11"/>
  <c r="AF259" i="11"/>
  <c r="AF234" i="11"/>
  <c r="AF320" i="11"/>
  <c r="AF345" i="11"/>
  <c r="AE393" i="11"/>
  <c r="AF398" i="11"/>
  <c r="AE425" i="11"/>
  <c r="AF247" i="11"/>
  <c r="AE345" i="11"/>
  <c r="AE406" i="11"/>
  <c r="AF326" i="11"/>
  <c r="AF352" i="11"/>
  <c r="AF238" i="11"/>
  <c r="AE233" i="11"/>
  <c r="AF342" i="11"/>
  <c r="AE422" i="11"/>
  <c r="AF466" i="11"/>
  <c r="AE376" i="11"/>
  <c r="AE320" i="11"/>
  <c r="AF392" i="11"/>
  <c r="AE263" i="11"/>
  <c r="AF348" i="11"/>
  <c r="AF240" i="11"/>
  <c r="AE273" i="11"/>
  <c r="AF381" i="11"/>
  <c r="AE445" i="11"/>
  <c r="AE319" i="11"/>
  <c r="AE255" i="11"/>
  <c r="AF445" i="11"/>
  <c r="AF335" i="11"/>
  <c r="AF406" i="11"/>
  <c r="AF316" i="11"/>
  <c r="AF310" i="11"/>
  <c r="AE284" i="11"/>
  <c r="AF397" i="11"/>
  <c r="AE336" i="11"/>
  <c r="AE302" i="11"/>
  <c r="AF449" i="11"/>
  <c r="AF349" i="11"/>
  <c r="AF303" i="11"/>
  <c r="AF452" i="11"/>
  <c r="AE434" i="11"/>
  <c r="AF425" i="11"/>
  <c r="AF324" i="11"/>
  <c r="AE421" i="11"/>
  <c r="AE303" i="11"/>
  <c r="AF267" i="11"/>
  <c r="AF443" i="11"/>
  <c r="AE455" i="11"/>
  <c r="AE231" i="11"/>
  <c r="AF279" i="11"/>
  <c r="AE333" i="11"/>
  <c r="AE239" i="11"/>
  <c r="AF457" i="11"/>
  <c r="AF437" i="11"/>
  <c r="AE305" i="11"/>
  <c r="AF388" i="11"/>
  <c r="AF334" i="11"/>
  <c r="AE374" i="11"/>
  <c r="AF250" i="11"/>
  <c r="AF363" i="11"/>
  <c r="AE398" i="11"/>
  <c r="AE461" i="11"/>
  <c r="AE346" i="11"/>
  <c r="AF292" i="11"/>
  <c r="AF372" i="11"/>
  <c r="AF252" i="11"/>
  <c r="AF344" i="11"/>
  <c r="AF287" i="11"/>
  <c r="AE237" i="11"/>
  <c r="AF405" i="11"/>
  <c r="AF423" i="11"/>
  <c r="AF262" i="11"/>
  <c r="AF462" i="11"/>
  <c r="AF244" i="11"/>
  <c r="AF424" i="11"/>
  <c r="AE245" i="11"/>
  <c r="AF375" i="11"/>
  <c r="AF300" i="11"/>
  <c r="AE337" i="11"/>
  <c r="AE437" i="11"/>
  <c r="AE256" i="11"/>
  <c r="AE433" i="11"/>
  <c r="AE342" i="11"/>
  <c r="AF450" i="11"/>
  <c r="AE415" i="11"/>
  <c r="AF355" i="11"/>
  <c r="AF448" i="11"/>
  <c r="AE270" i="11"/>
  <c r="AF307" i="11"/>
  <c r="AE314" i="11"/>
  <c r="AE416" i="11"/>
  <c r="AE226" i="11"/>
  <c r="AF391" i="11"/>
  <c r="AE258" i="11"/>
  <c r="AF319" i="11"/>
  <c r="AE410" i="11"/>
  <c r="AE250" i="11"/>
  <c r="AF430" i="11"/>
  <c r="AF361" i="11"/>
  <c r="AF383" i="11"/>
  <c r="AE466" i="11"/>
  <c r="AF378" i="11"/>
  <c r="AF416" i="11"/>
  <c r="AE277" i="11"/>
  <c r="AF285" i="11"/>
  <c r="AF288" i="11"/>
  <c r="AE254" i="11"/>
  <c r="AF327" i="11"/>
  <c r="AE228" i="11"/>
  <c r="AF313" i="11"/>
  <c r="AE436" i="11"/>
  <c r="AF419" i="11"/>
  <c r="AE354" i="11"/>
  <c r="AF235" i="11"/>
  <c r="AE330" i="11"/>
  <c r="AF306" i="11"/>
  <c r="AE347" i="11"/>
  <c r="AF255" i="11"/>
  <c r="AE351" i="11"/>
  <c r="AF293" i="11"/>
  <c r="AE230" i="11"/>
  <c r="AF368" i="11"/>
  <c r="AE370" i="11"/>
  <c r="AE235" i="11"/>
  <c r="AE343" i="11"/>
  <c r="AF224" i="11"/>
  <c r="AF242" i="11"/>
  <c r="AE329" i="11"/>
  <c r="AF248" i="11"/>
  <c r="AE358" i="11"/>
  <c r="AE280" i="11"/>
  <c r="AE322" i="11"/>
  <c r="AE420" i="11"/>
  <c r="AE381" i="11"/>
  <c r="AE247" i="11"/>
  <c r="AE441" i="11"/>
  <c r="AE264" i="11"/>
  <c r="AF364" i="11"/>
  <c r="AF245" i="11"/>
  <c r="AE297" i="11"/>
  <c r="AF322" i="11"/>
  <c r="AE265" i="11"/>
  <c r="AE309" i="11"/>
  <c r="AF351" i="11"/>
  <c r="AE275" i="11"/>
  <c r="AF231" i="11"/>
  <c r="AF330" i="11"/>
  <c r="AF442" i="11"/>
  <c r="AF308" i="11"/>
  <c r="AE459" i="11"/>
  <c r="AE456" i="11"/>
  <c r="AF333" i="11"/>
  <c r="AF459" i="11"/>
  <c r="AF380" i="11"/>
  <c r="AF393" i="11"/>
  <c r="AE384" i="11"/>
  <c r="AF366" i="11"/>
  <c r="AE295" i="11"/>
  <c r="AE246" i="11"/>
  <c r="AF362" i="11"/>
  <c r="AF390" i="11"/>
  <c r="AF463" i="11"/>
  <c r="AF465" i="11"/>
  <c r="AE379" i="11"/>
  <c r="AE294" i="11"/>
  <c r="AE361" i="11"/>
  <c r="AE227" i="11"/>
  <c r="AF291" i="11"/>
  <c r="E503" i="11" l="1"/>
  <c r="E238" i="11"/>
  <c r="E240" i="11"/>
  <c r="E495" i="11"/>
  <c r="E498" i="11"/>
  <c r="E235" i="11"/>
  <c r="E227" i="11"/>
  <c r="E489" i="11"/>
  <c r="E501" i="11"/>
  <c r="E497" i="11"/>
  <c r="E485" i="11"/>
  <c r="E237" i="11"/>
  <c r="E231" i="11"/>
  <c r="E242" i="11"/>
  <c r="E493" i="11"/>
  <c r="E225" i="11"/>
  <c r="E244" i="11"/>
  <c r="E494" i="11"/>
  <c r="E226" i="11"/>
  <c r="E243" i="11"/>
  <c r="E236" i="11"/>
  <c r="E239" i="11"/>
  <c r="E484" i="11"/>
  <c r="E228" i="11"/>
  <c r="E490" i="11"/>
  <c r="E488" i="11"/>
  <c r="E486" i="11"/>
  <c r="E241" i="11"/>
  <c r="E492" i="11"/>
  <c r="E491" i="11"/>
  <c r="E233" i="11"/>
  <c r="E496" i="11"/>
  <c r="E502" i="11"/>
  <c r="E223" i="11"/>
  <c r="E232" i="11"/>
  <c r="E499" i="11"/>
  <c r="E229" i="11"/>
  <c r="E500" i="11"/>
  <c r="E230" i="11"/>
  <c r="E224" i="11"/>
  <c r="E234" i="11"/>
  <c r="E487" i="11"/>
  <c r="F504" i="11"/>
  <c r="K49" i="7"/>
  <c r="N73" i="10"/>
  <c r="P72" i="10"/>
  <c r="K77" i="9"/>
  <c r="P77" i="9" s="1"/>
  <c r="F86" i="10"/>
  <c r="F87" i="10" s="1"/>
  <c r="F88" i="10" s="1"/>
  <c r="F89" i="10" s="1"/>
  <c r="N90" i="9"/>
  <c r="F245" i="11"/>
  <c r="C507" i="11" s="1"/>
  <c r="K20" i="7"/>
  <c r="H29" i="10" s="1"/>
  <c r="H31" i="10" s="1"/>
  <c r="H19" i="10" s="1"/>
  <c r="J83" i="10"/>
  <c r="H84" i="10"/>
  <c r="G88" i="10"/>
  <c r="E682" i="11"/>
  <c r="E91" i="9"/>
  <c r="I91" i="9" s="1"/>
  <c r="H88" i="9"/>
  <c r="F79" i="9"/>
  <c r="K79" i="9" s="1"/>
  <c r="P79" i="9" s="1"/>
  <c r="G85" i="9"/>
  <c r="G37" i="9"/>
  <c r="G41" i="9"/>
  <c r="G39" i="9"/>
  <c r="E575" i="11"/>
  <c r="D578" i="11"/>
  <c r="N74" i="10" l="1"/>
  <c r="N75" i="10" s="1"/>
  <c r="P75" i="10" s="1"/>
  <c r="P73" i="10"/>
  <c r="F90" i="10"/>
  <c r="F91" i="10" s="1"/>
  <c r="H17" i="10"/>
  <c r="E537" i="11" s="1"/>
  <c r="G533" i="11"/>
  <c r="G545" i="11" s="1"/>
  <c r="E522" i="11"/>
  <c r="L21" i="2" s="1"/>
  <c r="N91" i="9"/>
  <c r="H85" i="10"/>
  <c r="J84" i="10"/>
  <c r="G89" i="10"/>
  <c r="E683" i="11"/>
  <c r="E92" i="9"/>
  <c r="I92" i="9" s="1"/>
  <c r="H89" i="9"/>
  <c r="F80" i="9"/>
  <c r="K80" i="9" s="1"/>
  <c r="P80" i="9" s="1"/>
  <c r="G86" i="9"/>
  <c r="E576" i="11"/>
  <c r="D579" i="11"/>
  <c r="P74" i="10" l="1"/>
  <c r="N76" i="10"/>
  <c r="F92" i="10"/>
  <c r="F93" i="10" s="1"/>
  <c r="G547" i="11"/>
  <c r="G39" i="10" s="1"/>
  <c r="G546" i="11"/>
  <c r="G37" i="10" s="1"/>
  <c r="G548" i="11"/>
  <c r="G41" i="10" s="1"/>
  <c r="N92" i="9"/>
  <c r="N93" i="9" s="1"/>
  <c r="H86" i="10"/>
  <c r="J85" i="10"/>
  <c r="G90" i="10"/>
  <c r="E684" i="11"/>
  <c r="E93" i="9"/>
  <c r="I93" i="9" s="1"/>
  <c r="H90" i="9"/>
  <c r="F81" i="9"/>
  <c r="G87" i="9"/>
  <c r="E577" i="11"/>
  <c r="D580" i="11"/>
  <c r="N77" i="10" l="1"/>
  <c r="N78" i="10" s="1"/>
  <c r="P78" i="10" s="1"/>
  <c r="P76" i="10"/>
  <c r="F94" i="10"/>
  <c r="F95" i="10" s="1"/>
  <c r="J86" i="10"/>
  <c r="H87" i="10"/>
  <c r="G91" i="10"/>
  <c r="E685" i="11"/>
  <c r="E94" i="9"/>
  <c r="I94" i="9" s="1"/>
  <c r="H91" i="9"/>
  <c r="K81" i="9"/>
  <c r="P81" i="9" s="1"/>
  <c r="F82" i="9"/>
  <c r="N94" i="9"/>
  <c r="G88" i="9"/>
  <c r="E578" i="11"/>
  <c r="D581" i="11"/>
  <c r="P77" i="10" l="1"/>
  <c r="N79" i="10"/>
  <c r="N80" i="10" s="1"/>
  <c r="F96" i="10"/>
  <c r="F97" i="10" s="1"/>
  <c r="F98" i="10" s="1"/>
  <c r="H88" i="10"/>
  <c r="J87" i="10"/>
  <c r="G92" i="10"/>
  <c r="E686" i="11"/>
  <c r="E95" i="9"/>
  <c r="I95" i="9" s="1"/>
  <c r="H92" i="9"/>
  <c r="K82" i="9"/>
  <c r="P82" i="9" s="1"/>
  <c r="F83" i="9"/>
  <c r="G89" i="9"/>
  <c r="E579" i="11"/>
  <c r="D582" i="11"/>
  <c r="P79" i="10" l="1"/>
  <c r="N81" i="10"/>
  <c r="N82" i="10" s="1"/>
  <c r="P82" i="10" s="1"/>
  <c r="P80" i="10"/>
  <c r="F99" i="10"/>
  <c r="F100" i="10" s="1"/>
  <c r="N95" i="9"/>
  <c r="H89" i="10"/>
  <c r="J88" i="10"/>
  <c r="G93" i="10"/>
  <c r="E687" i="11"/>
  <c r="E96" i="9"/>
  <c r="I96" i="9" s="1"/>
  <c r="H93" i="9"/>
  <c r="H94" i="9" s="1"/>
  <c r="F84" i="9"/>
  <c r="K83" i="9"/>
  <c r="P83" i="9" s="1"/>
  <c r="G90" i="9"/>
  <c r="E580" i="11"/>
  <c r="D583" i="11"/>
  <c r="P81" i="10" l="1"/>
  <c r="N83" i="10"/>
  <c r="P83" i="10" s="1"/>
  <c r="N96" i="9"/>
  <c r="H90" i="10"/>
  <c r="J89" i="10"/>
  <c r="G94" i="10"/>
  <c r="F101" i="10"/>
  <c r="E688" i="11"/>
  <c r="E97" i="9"/>
  <c r="I97" i="9" s="1"/>
  <c r="H95" i="9"/>
  <c r="H96" i="9" s="1"/>
  <c r="K84" i="9"/>
  <c r="P84" i="9" s="1"/>
  <c r="F85" i="9"/>
  <c r="G91" i="9"/>
  <c r="E581" i="11"/>
  <c r="D584" i="11"/>
  <c r="N84" i="10" l="1"/>
  <c r="H97" i="9"/>
  <c r="N97" i="9"/>
  <c r="H91" i="10"/>
  <c r="J90" i="10"/>
  <c r="G95" i="10"/>
  <c r="F102" i="10"/>
  <c r="E689" i="11"/>
  <c r="E98" i="9"/>
  <c r="I98" i="9" s="1"/>
  <c r="K85" i="9"/>
  <c r="P85" i="9" s="1"/>
  <c r="F86" i="9"/>
  <c r="G92" i="9"/>
  <c r="E582" i="11"/>
  <c r="D585" i="11"/>
  <c r="P84" i="10" l="1"/>
  <c r="N85" i="10"/>
  <c r="H98" i="9"/>
  <c r="N98" i="9"/>
  <c r="H92" i="10"/>
  <c r="J91" i="10"/>
  <c r="G96" i="10"/>
  <c r="F103" i="10"/>
  <c r="E690" i="11"/>
  <c r="E99" i="9"/>
  <c r="I99" i="9" s="1"/>
  <c r="K86" i="9"/>
  <c r="P86" i="9" s="1"/>
  <c r="F87" i="9"/>
  <c r="G93" i="9"/>
  <c r="E583" i="11"/>
  <c r="D586" i="11"/>
  <c r="P85" i="10" l="1"/>
  <c r="N86" i="10"/>
  <c r="N99" i="9"/>
  <c r="H99" i="9"/>
  <c r="H93" i="10"/>
  <c r="J92" i="10"/>
  <c r="G97" i="10"/>
  <c r="F104" i="10"/>
  <c r="E691" i="11"/>
  <c r="E100" i="9"/>
  <c r="I100" i="9" s="1"/>
  <c r="K87" i="9"/>
  <c r="P87" i="9" s="1"/>
  <c r="F88" i="9"/>
  <c r="K88" i="9" s="1"/>
  <c r="P88" i="9" s="1"/>
  <c r="G94" i="9"/>
  <c r="E584" i="11"/>
  <c r="D587" i="11"/>
  <c r="N87" i="10" l="1"/>
  <c r="P86" i="10"/>
  <c r="N100" i="9"/>
  <c r="H100" i="9"/>
  <c r="H94" i="10"/>
  <c r="J93" i="10"/>
  <c r="G98" i="10"/>
  <c r="F105" i="10"/>
  <c r="E692" i="11"/>
  <c r="E101" i="9"/>
  <c r="I101" i="9" s="1"/>
  <c r="F89" i="9"/>
  <c r="G95" i="9"/>
  <c r="E585" i="11"/>
  <c r="D588" i="11"/>
  <c r="P87" i="10" l="1"/>
  <c r="N88" i="10"/>
  <c r="N101" i="9"/>
  <c r="H101" i="9"/>
  <c r="H95" i="10"/>
  <c r="J94" i="10"/>
  <c r="G99" i="10"/>
  <c r="F106" i="10"/>
  <c r="E693" i="11"/>
  <c r="E102" i="9"/>
  <c r="K89" i="9"/>
  <c r="P89" i="9" s="1"/>
  <c r="F90" i="9"/>
  <c r="G96" i="9"/>
  <c r="E586" i="11"/>
  <c r="E587" i="11" s="1"/>
  <c r="D589" i="11"/>
  <c r="E588" i="11" s="1"/>
  <c r="P88" i="10" l="1"/>
  <c r="N89" i="10"/>
  <c r="N90" i="10" s="1"/>
  <c r="P90" i="10" s="1"/>
  <c r="N102" i="9"/>
  <c r="H102" i="9"/>
  <c r="I102" i="9"/>
  <c r="H96" i="10"/>
  <c r="J95" i="10"/>
  <c r="G100" i="10"/>
  <c r="F107" i="10"/>
  <c r="E694" i="11"/>
  <c r="E103" i="9"/>
  <c r="F91" i="9"/>
  <c r="K90" i="9"/>
  <c r="P90" i="9" s="1"/>
  <c r="G97" i="9"/>
  <c r="E589" i="11"/>
  <c r="D590" i="11"/>
  <c r="P89" i="10" l="1"/>
  <c r="N91" i="10"/>
  <c r="P91" i="10" s="1"/>
  <c r="H103" i="9"/>
  <c r="N103" i="9"/>
  <c r="I103" i="9"/>
  <c r="H97" i="10"/>
  <c r="J96" i="10"/>
  <c r="G101" i="10"/>
  <c r="F108" i="10"/>
  <c r="E695" i="11"/>
  <c r="E104" i="9"/>
  <c r="K91" i="9"/>
  <c r="P91" i="9" s="1"/>
  <c r="F92" i="9"/>
  <c r="F93" i="9" s="1"/>
  <c r="G98" i="9"/>
  <c r="E590" i="11"/>
  <c r="D591" i="11"/>
  <c r="N92" i="10" l="1"/>
  <c r="P92" i="10" s="1"/>
  <c r="N104" i="9"/>
  <c r="H98" i="10"/>
  <c r="J97" i="10"/>
  <c r="G102" i="10"/>
  <c r="F109" i="10"/>
  <c r="E696" i="11"/>
  <c r="E105" i="9"/>
  <c r="H104" i="9"/>
  <c r="I104" i="9"/>
  <c r="F94" i="9"/>
  <c r="K93" i="9"/>
  <c r="P93" i="9" s="1"/>
  <c r="K92" i="9"/>
  <c r="P92" i="9" s="1"/>
  <c r="G99" i="9"/>
  <c r="E591" i="11"/>
  <c r="D592" i="11"/>
  <c r="N93" i="10" l="1"/>
  <c r="N105" i="9"/>
  <c r="I105" i="9"/>
  <c r="H105" i="9"/>
  <c r="H99" i="10"/>
  <c r="J98" i="10"/>
  <c r="G103" i="10"/>
  <c r="F110" i="10"/>
  <c r="E697" i="11"/>
  <c r="E106" i="9"/>
  <c r="F95" i="9"/>
  <c r="K94" i="9"/>
  <c r="P94" i="9" s="1"/>
  <c r="G100" i="9"/>
  <c r="E592" i="11"/>
  <c r="D593" i="11"/>
  <c r="P93" i="10" l="1"/>
  <c r="N94" i="10"/>
  <c r="N95" i="10" s="1"/>
  <c r="P95" i="10" s="1"/>
  <c r="I106" i="9"/>
  <c r="N106" i="9"/>
  <c r="H100" i="10"/>
  <c r="J99" i="10"/>
  <c r="G104" i="10"/>
  <c r="F111" i="10"/>
  <c r="H106" i="9"/>
  <c r="E698" i="11"/>
  <c r="E107" i="9"/>
  <c r="F96" i="9"/>
  <c r="K95" i="9"/>
  <c r="P95" i="9" s="1"/>
  <c r="G101" i="9"/>
  <c r="E593" i="11"/>
  <c r="D594" i="11"/>
  <c r="P94" i="10" l="1"/>
  <c r="N96" i="10"/>
  <c r="I107" i="9"/>
  <c r="N107" i="9"/>
  <c r="H107" i="9"/>
  <c r="H101" i="10"/>
  <c r="J100" i="10"/>
  <c r="G105" i="10"/>
  <c r="F112" i="10"/>
  <c r="E699" i="11"/>
  <c r="E108" i="9"/>
  <c r="K96" i="9"/>
  <c r="P96" i="9" s="1"/>
  <c r="F97" i="9"/>
  <c r="G102" i="9"/>
  <c r="E594" i="11"/>
  <c r="D595" i="11"/>
  <c r="P96" i="10" l="1"/>
  <c r="N97" i="10"/>
  <c r="P97" i="10" s="1"/>
  <c r="N108" i="9"/>
  <c r="H108" i="9"/>
  <c r="I108" i="9"/>
  <c r="H102" i="10"/>
  <c r="J101" i="10"/>
  <c r="G106" i="10"/>
  <c r="F113" i="10"/>
  <c r="E700" i="11"/>
  <c r="E109" i="9"/>
  <c r="F98" i="9"/>
  <c r="K97" i="9"/>
  <c r="P97" i="9" s="1"/>
  <c r="G103" i="9"/>
  <c r="E595" i="11"/>
  <c r="D596" i="11"/>
  <c r="N98" i="10" l="1"/>
  <c r="H109" i="9"/>
  <c r="N109" i="9"/>
  <c r="I109" i="9"/>
  <c r="H103" i="10"/>
  <c r="J102" i="10"/>
  <c r="G107" i="10"/>
  <c r="F114" i="10"/>
  <c r="E701" i="11"/>
  <c r="E110" i="9"/>
  <c r="F99" i="9"/>
  <c r="K98" i="9"/>
  <c r="P98" i="9" s="1"/>
  <c r="G104" i="9"/>
  <c r="E596" i="11"/>
  <c r="D597" i="11"/>
  <c r="P98" i="10" l="1"/>
  <c r="N99" i="10"/>
  <c r="P99" i="10" s="1"/>
  <c r="N110" i="9"/>
  <c r="H110" i="9"/>
  <c r="I110" i="9"/>
  <c r="H104" i="10"/>
  <c r="J103" i="10"/>
  <c r="G108" i="10"/>
  <c r="F115" i="10"/>
  <c r="E702" i="11"/>
  <c r="E111" i="9"/>
  <c r="F100" i="9"/>
  <c r="F101" i="9" s="1"/>
  <c r="K99" i="9"/>
  <c r="P99" i="9" s="1"/>
  <c r="G105" i="9"/>
  <c r="E597" i="11"/>
  <c r="D598" i="11"/>
  <c r="N100" i="10" l="1"/>
  <c r="N111" i="9"/>
  <c r="I111" i="9"/>
  <c r="H105" i="10"/>
  <c r="J104" i="10"/>
  <c r="G109" i="10"/>
  <c r="F116" i="10"/>
  <c r="H111" i="9"/>
  <c r="E703" i="11"/>
  <c r="E112" i="9"/>
  <c r="F102" i="9"/>
  <c r="K101" i="9"/>
  <c r="P101" i="9" s="1"/>
  <c r="K100" i="9"/>
  <c r="P100" i="9" s="1"/>
  <c r="G106" i="9"/>
  <c r="E598" i="11"/>
  <c r="D599" i="11"/>
  <c r="N101" i="10" l="1"/>
  <c r="P100" i="10"/>
  <c r="N112" i="9"/>
  <c r="H106" i="10"/>
  <c r="J105" i="10"/>
  <c r="G110" i="10"/>
  <c r="F117" i="10"/>
  <c r="E704" i="11"/>
  <c r="E113" i="9"/>
  <c r="I112" i="9"/>
  <c r="H112" i="9"/>
  <c r="K102" i="9"/>
  <c r="P102" i="9" s="1"/>
  <c r="F103" i="9"/>
  <c r="G107" i="9"/>
  <c r="E599" i="11"/>
  <c r="D600" i="11"/>
  <c r="N102" i="10" l="1"/>
  <c r="P101" i="10"/>
  <c r="N113" i="9"/>
  <c r="H113" i="9"/>
  <c r="I113" i="9"/>
  <c r="H107" i="10"/>
  <c r="J106" i="10"/>
  <c r="G111" i="10"/>
  <c r="F118" i="10"/>
  <c r="E705" i="11"/>
  <c r="E114" i="9"/>
  <c r="K103" i="9"/>
  <c r="P103" i="9" s="1"/>
  <c r="F104" i="9"/>
  <c r="G108" i="9"/>
  <c r="E600" i="11"/>
  <c r="D601" i="11"/>
  <c r="N103" i="10" l="1"/>
  <c r="P102" i="10"/>
  <c r="I114" i="9"/>
  <c r="N114" i="9"/>
  <c r="H108" i="10"/>
  <c r="J107" i="10"/>
  <c r="G112" i="10"/>
  <c r="F119" i="10"/>
  <c r="E706" i="11"/>
  <c r="E115" i="9"/>
  <c r="H114" i="9"/>
  <c r="H115" i="9" s="1"/>
  <c r="K104" i="9"/>
  <c r="P104" i="9" s="1"/>
  <c r="F105" i="9"/>
  <c r="G109" i="9"/>
  <c r="E601" i="11"/>
  <c r="D602" i="11"/>
  <c r="P103" i="10" l="1"/>
  <c r="N104" i="10"/>
  <c r="I115" i="9"/>
  <c r="N115" i="9"/>
  <c r="H109" i="10"/>
  <c r="J108" i="10"/>
  <c r="G113" i="10"/>
  <c r="F120" i="10"/>
  <c r="E707" i="11"/>
  <c r="E116" i="9"/>
  <c r="H116" i="9" s="1"/>
  <c r="K105" i="9"/>
  <c r="P105" i="9" s="1"/>
  <c r="F106" i="9"/>
  <c r="G110" i="9"/>
  <c r="E602" i="11"/>
  <c r="D603" i="11"/>
  <c r="N105" i="10" l="1"/>
  <c r="P104" i="10"/>
  <c r="N116" i="9"/>
  <c r="I116" i="9"/>
  <c r="H110" i="10"/>
  <c r="J109" i="10"/>
  <c r="G114" i="10"/>
  <c r="F121" i="10"/>
  <c r="E708" i="11"/>
  <c r="E117" i="9"/>
  <c r="H117" i="9" s="1"/>
  <c r="K106" i="9"/>
  <c r="P106" i="9" s="1"/>
  <c r="F107" i="9"/>
  <c r="G111" i="9"/>
  <c r="E603" i="11"/>
  <c r="D604" i="11"/>
  <c r="N106" i="10" l="1"/>
  <c r="P105" i="10"/>
  <c r="N117" i="9"/>
  <c r="N118" i="9" s="1"/>
  <c r="I117" i="9"/>
  <c r="H111" i="10"/>
  <c r="J110" i="10"/>
  <c r="G115" i="10"/>
  <c r="F122" i="10"/>
  <c r="E709" i="11"/>
  <c r="E118" i="9"/>
  <c r="K107" i="9"/>
  <c r="P107" i="9" s="1"/>
  <c r="F108" i="9"/>
  <c r="G112" i="9"/>
  <c r="E604" i="11"/>
  <c r="D605" i="11"/>
  <c r="N107" i="10" l="1"/>
  <c r="P107" i="10" s="1"/>
  <c r="P106" i="10"/>
  <c r="I118" i="9"/>
  <c r="H112" i="10"/>
  <c r="J111" i="10"/>
  <c r="G116" i="10"/>
  <c r="F123" i="10"/>
  <c r="H118" i="9"/>
  <c r="E710" i="11"/>
  <c r="E119" i="9"/>
  <c r="N119" i="9" s="1"/>
  <c r="K108" i="9"/>
  <c r="P108" i="9" s="1"/>
  <c r="F109" i="9"/>
  <c r="G113" i="9"/>
  <c r="E605" i="11"/>
  <c r="D606" i="11"/>
  <c r="N108" i="10" l="1"/>
  <c r="P108" i="10" s="1"/>
  <c r="H113" i="10"/>
  <c r="J112" i="10"/>
  <c r="G117" i="10"/>
  <c r="F124" i="10"/>
  <c r="H119" i="9"/>
  <c r="E711" i="11"/>
  <c r="E120" i="9"/>
  <c r="N120" i="9" s="1"/>
  <c r="I119" i="9"/>
  <c r="F110" i="9"/>
  <c r="K109" i="9"/>
  <c r="P109" i="9" s="1"/>
  <c r="G114" i="9"/>
  <c r="E606" i="11"/>
  <c r="D607" i="11"/>
  <c r="N109" i="10" l="1"/>
  <c r="P109" i="10" s="1"/>
  <c r="I120" i="9"/>
  <c r="H114" i="10"/>
  <c r="J113" i="10"/>
  <c r="G118" i="10"/>
  <c r="F125" i="10"/>
  <c r="E712" i="11"/>
  <c r="E121" i="9"/>
  <c r="N121" i="9" s="1"/>
  <c r="H120" i="9"/>
  <c r="K110" i="9"/>
  <c r="P110" i="9" s="1"/>
  <c r="F111" i="9"/>
  <c r="G115" i="9"/>
  <c r="E607" i="11"/>
  <c r="D608" i="11"/>
  <c r="N110" i="10" l="1"/>
  <c r="P110" i="10" s="1"/>
  <c r="H121" i="9"/>
  <c r="I121" i="9"/>
  <c r="H115" i="10"/>
  <c r="J114" i="10"/>
  <c r="G119" i="10"/>
  <c r="F126" i="10"/>
  <c r="E713" i="11"/>
  <c r="E122" i="9"/>
  <c r="N122" i="9" s="1"/>
  <c r="K111" i="9"/>
  <c r="P111" i="9" s="1"/>
  <c r="F112" i="9"/>
  <c r="G116" i="9"/>
  <c r="E608" i="11"/>
  <c r="D609" i="11"/>
  <c r="N111" i="10" l="1"/>
  <c r="P111" i="10" s="1"/>
  <c r="H116" i="10"/>
  <c r="J115" i="10"/>
  <c r="G120" i="10"/>
  <c r="F127" i="10"/>
  <c r="H122" i="9"/>
  <c r="E714" i="11"/>
  <c r="E123" i="9"/>
  <c r="N123" i="9" s="1"/>
  <c r="I122" i="9"/>
  <c r="K112" i="9"/>
  <c r="P112" i="9" s="1"/>
  <c r="F113" i="9"/>
  <c r="G117" i="9"/>
  <c r="E609" i="11"/>
  <c r="D610" i="11"/>
  <c r="N112" i="10" l="1"/>
  <c r="N113" i="10" s="1"/>
  <c r="P113" i="10" s="1"/>
  <c r="I123" i="9"/>
  <c r="H117" i="10"/>
  <c r="J116" i="10"/>
  <c r="G121" i="10"/>
  <c r="F128" i="10"/>
  <c r="H123" i="9"/>
  <c r="E715" i="11"/>
  <c r="E124" i="9"/>
  <c r="K113" i="9"/>
  <c r="P113" i="9" s="1"/>
  <c r="F114" i="9"/>
  <c r="G118" i="9"/>
  <c r="E610" i="11"/>
  <c r="D611" i="11"/>
  <c r="N114" i="10" l="1"/>
  <c r="P114" i="10" s="1"/>
  <c r="P112" i="10"/>
  <c r="I124" i="9"/>
  <c r="N124" i="9"/>
  <c r="H118" i="10"/>
  <c r="J117" i="10"/>
  <c r="N115" i="10"/>
  <c r="G122" i="10"/>
  <c r="F129" i="10"/>
  <c r="E716" i="11"/>
  <c r="E125" i="9"/>
  <c r="H124" i="9"/>
  <c r="F115" i="9"/>
  <c r="K114" i="9"/>
  <c r="P114" i="9" s="1"/>
  <c r="G119" i="9"/>
  <c r="E611" i="11"/>
  <c r="D612" i="11"/>
  <c r="I125" i="9" l="1"/>
  <c r="N125" i="9"/>
  <c r="H119" i="10"/>
  <c r="J118" i="10"/>
  <c r="N116" i="10"/>
  <c r="P115" i="10"/>
  <c r="G123" i="10"/>
  <c r="F130" i="10"/>
  <c r="H125" i="9"/>
  <c r="E717" i="11"/>
  <c r="E126" i="9"/>
  <c r="K115" i="9"/>
  <c r="P115" i="9" s="1"/>
  <c r="F116" i="9"/>
  <c r="F117" i="9" s="1"/>
  <c r="K117" i="9" s="1"/>
  <c r="P117" i="9" s="1"/>
  <c r="G120" i="9"/>
  <c r="E612" i="11"/>
  <c r="D613" i="11"/>
  <c r="N126" i="9" l="1"/>
  <c r="H120" i="10"/>
  <c r="J119" i="10"/>
  <c r="N117" i="10"/>
  <c r="P116" i="10"/>
  <c r="G124" i="10"/>
  <c r="F131" i="10"/>
  <c r="E718" i="11"/>
  <c r="E127" i="9"/>
  <c r="H126" i="9"/>
  <c r="I126" i="9"/>
  <c r="K116" i="9"/>
  <c r="P116" i="9" s="1"/>
  <c r="F118" i="9"/>
  <c r="F119" i="9" s="1"/>
  <c r="G121" i="9"/>
  <c r="E613" i="11"/>
  <c r="D614" i="11"/>
  <c r="N127" i="9" l="1"/>
  <c r="I127" i="9"/>
  <c r="H121" i="10"/>
  <c r="J120" i="10"/>
  <c r="N118" i="10"/>
  <c r="P117" i="10"/>
  <c r="G125" i="10"/>
  <c r="F132" i="10"/>
  <c r="H127" i="9"/>
  <c r="E719" i="11"/>
  <c r="E128" i="9"/>
  <c r="K119" i="9"/>
  <c r="P119" i="9" s="1"/>
  <c r="F120" i="9"/>
  <c r="K120" i="9" s="1"/>
  <c r="P120" i="9" s="1"/>
  <c r="K118" i="9"/>
  <c r="P118" i="9" s="1"/>
  <c r="G122" i="9"/>
  <c r="E614" i="11"/>
  <c r="D615" i="11"/>
  <c r="N128" i="9" l="1"/>
  <c r="H122" i="10"/>
  <c r="J121" i="10"/>
  <c r="N119" i="10"/>
  <c r="P118" i="10"/>
  <c r="G126" i="10"/>
  <c r="F133" i="10"/>
  <c r="E720" i="11"/>
  <c r="E129" i="9"/>
  <c r="H128" i="9"/>
  <c r="I128" i="9"/>
  <c r="F121" i="9"/>
  <c r="K121" i="9" s="1"/>
  <c r="P121" i="9" s="1"/>
  <c r="G123" i="9"/>
  <c r="E615" i="11"/>
  <c r="D616" i="11"/>
  <c r="N129" i="9" l="1"/>
  <c r="H129" i="9"/>
  <c r="I129" i="9"/>
  <c r="H123" i="10"/>
  <c r="J122" i="10"/>
  <c r="N120" i="10"/>
  <c r="P119" i="10"/>
  <c r="G127" i="10"/>
  <c r="F134" i="10"/>
  <c r="E721" i="11"/>
  <c r="E130" i="9"/>
  <c r="F122" i="9"/>
  <c r="F123" i="9" s="1"/>
  <c r="K123" i="9" s="1"/>
  <c r="P123" i="9" s="1"/>
  <c r="G124" i="9"/>
  <c r="E616" i="11"/>
  <c r="D617" i="11"/>
  <c r="N130" i="9" l="1"/>
  <c r="H124" i="10"/>
  <c r="J123" i="10"/>
  <c r="N121" i="10"/>
  <c r="P120" i="10"/>
  <c r="G128" i="10"/>
  <c r="F135" i="10"/>
  <c r="H130" i="9"/>
  <c r="E722" i="11"/>
  <c r="E131" i="9"/>
  <c r="I130" i="9"/>
  <c r="K122" i="9"/>
  <c r="P122" i="9" s="1"/>
  <c r="F124" i="9"/>
  <c r="F125" i="9" s="1"/>
  <c r="G125" i="9"/>
  <c r="E617" i="11"/>
  <c r="D618" i="11"/>
  <c r="N131" i="9" l="1"/>
  <c r="I131" i="9"/>
  <c r="H125" i="10"/>
  <c r="J124" i="10"/>
  <c r="N122" i="10"/>
  <c r="P121" i="10"/>
  <c r="G129" i="10"/>
  <c r="F136" i="10"/>
  <c r="E723" i="11"/>
  <c r="E132" i="9"/>
  <c r="H131" i="9"/>
  <c r="F126" i="9"/>
  <c r="F127" i="9" s="1"/>
  <c r="K124" i="9"/>
  <c r="P124" i="9" s="1"/>
  <c r="G126" i="9"/>
  <c r="K125" i="9"/>
  <c r="P125" i="9" s="1"/>
  <c r="E618" i="11"/>
  <c r="D619" i="11"/>
  <c r="N132" i="9" l="1"/>
  <c r="H126" i="10"/>
  <c r="J125" i="10"/>
  <c r="N123" i="10"/>
  <c r="P122" i="10"/>
  <c r="G130" i="10"/>
  <c r="F137" i="10"/>
  <c r="H132" i="9"/>
  <c r="E724" i="11"/>
  <c r="E133" i="9"/>
  <c r="I132" i="9"/>
  <c r="F128" i="9"/>
  <c r="F129" i="9" s="1"/>
  <c r="F130" i="9" s="1"/>
  <c r="G127" i="9"/>
  <c r="K126" i="9"/>
  <c r="P126" i="9" s="1"/>
  <c r="E619" i="11"/>
  <c r="D620" i="11"/>
  <c r="N133" i="9" l="1"/>
  <c r="I133" i="9"/>
  <c r="H127" i="10"/>
  <c r="J126" i="10"/>
  <c r="N124" i="10"/>
  <c r="P123" i="10"/>
  <c r="G131" i="10"/>
  <c r="F138" i="10"/>
  <c r="H133" i="9"/>
  <c r="E725" i="11"/>
  <c r="E134" i="9"/>
  <c r="F131" i="9"/>
  <c r="F132" i="9" s="1"/>
  <c r="F133" i="9" s="1"/>
  <c r="G128" i="9"/>
  <c r="K127" i="9"/>
  <c r="P127" i="9" s="1"/>
  <c r="E620" i="11"/>
  <c r="D621" i="11"/>
  <c r="N134" i="9" l="1"/>
  <c r="H128" i="10"/>
  <c r="J127" i="10"/>
  <c r="N125" i="10"/>
  <c r="P124" i="10"/>
  <c r="G132" i="10"/>
  <c r="F139" i="10"/>
  <c r="H134" i="9"/>
  <c r="E726" i="11"/>
  <c r="E135" i="9"/>
  <c r="I134" i="9"/>
  <c r="F134" i="9"/>
  <c r="G129" i="9"/>
  <c r="K128" i="9"/>
  <c r="P128" i="9" s="1"/>
  <c r="E621" i="11"/>
  <c r="D622" i="11"/>
  <c r="N135" i="9" l="1"/>
  <c r="F135" i="9"/>
  <c r="I135" i="9"/>
  <c r="H129" i="10"/>
  <c r="J128" i="10"/>
  <c r="N126" i="10"/>
  <c r="P125" i="10"/>
  <c r="G133" i="10"/>
  <c r="F140" i="10"/>
  <c r="H135" i="9"/>
  <c r="E727" i="11"/>
  <c r="E136" i="9"/>
  <c r="G130" i="9"/>
  <c r="K129" i="9"/>
  <c r="P129" i="9" s="1"/>
  <c r="E622" i="11"/>
  <c r="D623" i="11"/>
  <c r="F136" i="9" l="1"/>
  <c r="N136" i="9"/>
  <c r="H130" i="10"/>
  <c r="J129" i="10"/>
  <c r="N127" i="10"/>
  <c r="P126" i="10"/>
  <c r="G134" i="10"/>
  <c r="F141" i="10"/>
  <c r="E728" i="11"/>
  <c r="E137" i="9"/>
  <c r="H136" i="9"/>
  <c r="I136" i="9"/>
  <c r="G131" i="9"/>
  <c r="K130" i="9"/>
  <c r="P130" i="9" s="1"/>
  <c r="E623" i="11"/>
  <c r="D624" i="11"/>
  <c r="F137" i="9" l="1"/>
  <c r="N137" i="9"/>
  <c r="I137" i="9"/>
  <c r="H131" i="10"/>
  <c r="J130" i="10"/>
  <c r="N128" i="10"/>
  <c r="P127" i="10"/>
  <c r="G135" i="10"/>
  <c r="F142" i="10"/>
  <c r="H137" i="9"/>
  <c r="E729" i="11"/>
  <c r="E138" i="9"/>
  <c r="G132" i="9"/>
  <c r="K131" i="9"/>
  <c r="P131" i="9" s="1"/>
  <c r="E624" i="11"/>
  <c r="D625" i="11"/>
  <c r="N138" i="9" l="1"/>
  <c r="H132" i="10"/>
  <c r="J131" i="10"/>
  <c r="N129" i="10"/>
  <c r="P128" i="10"/>
  <c r="G136" i="10"/>
  <c r="F143" i="10"/>
  <c r="E730" i="11"/>
  <c r="E139" i="9"/>
  <c r="H138" i="9"/>
  <c r="F138" i="9"/>
  <c r="I138" i="9"/>
  <c r="G133" i="9"/>
  <c r="K132" i="9"/>
  <c r="P132" i="9" s="1"/>
  <c r="E625" i="11"/>
  <c r="D626" i="11"/>
  <c r="N139" i="9" l="1"/>
  <c r="I139" i="9"/>
  <c r="H133" i="10"/>
  <c r="J132" i="10"/>
  <c r="N130" i="10"/>
  <c r="P129" i="10"/>
  <c r="G137" i="10"/>
  <c r="F144" i="10"/>
  <c r="H139" i="9"/>
  <c r="F139" i="9"/>
  <c r="E731" i="11"/>
  <c r="E140" i="9"/>
  <c r="G134" i="9"/>
  <c r="K133" i="9"/>
  <c r="P133" i="9" s="1"/>
  <c r="E626" i="11"/>
  <c r="D627" i="11"/>
  <c r="N140" i="9" l="1"/>
  <c r="N141" i="9" s="1"/>
  <c r="H134" i="10"/>
  <c r="J133" i="10"/>
  <c r="N131" i="10"/>
  <c r="P130" i="10"/>
  <c r="G138" i="10"/>
  <c r="F145" i="10"/>
  <c r="H140" i="9"/>
  <c r="F140" i="9"/>
  <c r="E732" i="11"/>
  <c r="E141" i="9"/>
  <c r="I140" i="9"/>
  <c r="I141" i="9" s="1"/>
  <c r="G135" i="9"/>
  <c r="K134" i="9"/>
  <c r="P134" i="9" s="1"/>
  <c r="E627" i="11"/>
  <c r="D628" i="11"/>
  <c r="H135" i="10" l="1"/>
  <c r="J134" i="10"/>
  <c r="N132" i="10"/>
  <c r="P131" i="10"/>
  <c r="G139" i="10"/>
  <c r="F146" i="10"/>
  <c r="H141" i="9"/>
  <c r="E733" i="11"/>
  <c r="E142" i="9"/>
  <c r="N142" i="9" s="1"/>
  <c r="F141" i="9"/>
  <c r="G136" i="9"/>
  <c r="K135" i="9"/>
  <c r="P135" i="9" s="1"/>
  <c r="E628" i="11"/>
  <c r="D629" i="11"/>
  <c r="E629" i="11" s="1"/>
  <c r="H142" i="9" l="1"/>
  <c r="H136" i="10"/>
  <c r="J135" i="10"/>
  <c r="N133" i="10"/>
  <c r="P132" i="10"/>
  <c r="G140" i="10"/>
  <c r="F147" i="10"/>
  <c r="F142" i="9"/>
  <c r="E734" i="11"/>
  <c r="E143" i="9"/>
  <c r="N143" i="9" s="1"/>
  <c r="I142" i="9"/>
  <c r="I143" i="9" s="1"/>
  <c r="G137" i="9"/>
  <c r="K136" i="9"/>
  <c r="P136" i="9" s="1"/>
  <c r="H137" i="10" l="1"/>
  <c r="J136" i="10"/>
  <c r="N134" i="10"/>
  <c r="P133" i="10"/>
  <c r="G141" i="10"/>
  <c r="F148" i="10"/>
  <c r="H143" i="9"/>
  <c r="F143" i="9"/>
  <c r="E735" i="11"/>
  <c r="E144" i="9"/>
  <c r="I144" i="9" s="1"/>
  <c r="G138" i="9"/>
  <c r="K137" i="9"/>
  <c r="P137" i="9" s="1"/>
  <c r="N144" i="9" l="1"/>
  <c r="H138" i="10"/>
  <c r="J137" i="10"/>
  <c r="N135" i="10"/>
  <c r="P134" i="10"/>
  <c r="G142" i="10"/>
  <c r="F149" i="10"/>
  <c r="E736" i="11"/>
  <c r="E145" i="9"/>
  <c r="H144" i="9"/>
  <c r="F144" i="9"/>
  <c r="G139" i="9"/>
  <c r="K138" i="9"/>
  <c r="P138" i="9" s="1"/>
  <c r="N145" i="9" l="1"/>
  <c r="I145" i="9"/>
  <c r="H139" i="10"/>
  <c r="J138" i="10"/>
  <c r="N136" i="10"/>
  <c r="P135" i="10"/>
  <c r="G143" i="10"/>
  <c r="F150" i="10"/>
  <c r="H145" i="9"/>
  <c r="F145" i="9"/>
  <c r="E737" i="11"/>
  <c r="E146" i="9"/>
  <c r="G140" i="9"/>
  <c r="K139" i="9"/>
  <c r="P139" i="9" s="1"/>
  <c r="N146" i="9" l="1"/>
  <c r="H140" i="10"/>
  <c r="J139" i="10"/>
  <c r="N137" i="10"/>
  <c r="P136" i="10"/>
  <c r="G144" i="10"/>
  <c r="F151" i="10"/>
  <c r="E738" i="11"/>
  <c r="E147" i="9"/>
  <c r="H146" i="9"/>
  <c r="F146" i="9"/>
  <c r="I146" i="9"/>
  <c r="G141" i="9"/>
  <c r="K140" i="9"/>
  <c r="P140" i="9" s="1"/>
  <c r="I147" i="9" l="1"/>
  <c r="N147" i="9"/>
  <c r="H141" i="10"/>
  <c r="J140" i="10"/>
  <c r="N138" i="10"/>
  <c r="P137" i="10"/>
  <c r="G145" i="10"/>
  <c r="F152" i="10"/>
  <c r="H147" i="9"/>
  <c r="F147" i="9"/>
  <c r="E739" i="11"/>
  <c r="E148" i="9"/>
  <c r="G142" i="9"/>
  <c r="K141" i="9"/>
  <c r="P141" i="9" s="1"/>
  <c r="N148" i="9" l="1"/>
  <c r="H142" i="10"/>
  <c r="J141" i="10"/>
  <c r="N139" i="10"/>
  <c r="P138" i="10"/>
  <c r="G146" i="10"/>
  <c r="F153" i="10"/>
  <c r="H148" i="9"/>
  <c r="F148" i="9"/>
  <c r="E740" i="11"/>
  <c r="E149" i="9"/>
  <c r="I148" i="9"/>
  <c r="G143" i="9"/>
  <c r="K142" i="9"/>
  <c r="P142" i="9" s="1"/>
  <c r="N149" i="9" l="1"/>
  <c r="N150" i="9" s="1"/>
  <c r="I149" i="9"/>
  <c r="H143" i="10"/>
  <c r="J142" i="10"/>
  <c r="N140" i="10"/>
  <c r="P139" i="10"/>
  <c r="G147" i="10"/>
  <c r="F154" i="10"/>
  <c r="E741" i="11"/>
  <c r="E150" i="9"/>
  <c r="H149" i="9"/>
  <c r="F149" i="9"/>
  <c r="G144" i="9"/>
  <c r="K143" i="9"/>
  <c r="P143" i="9" s="1"/>
  <c r="I150" i="9" l="1"/>
  <c r="H144" i="10"/>
  <c r="J143" i="10"/>
  <c r="N141" i="10"/>
  <c r="P140" i="10"/>
  <c r="G148" i="10"/>
  <c r="F155" i="10"/>
  <c r="E742" i="11"/>
  <c r="E151" i="9"/>
  <c r="F150" i="9"/>
  <c r="H150" i="9"/>
  <c r="H151" i="9" s="1"/>
  <c r="G145" i="9"/>
  <c r="K144" i="9"/>
  <c r="P144" i="9" s="1"/>
  <c r="I151" i="9" l="1"/>
  <c r="N151" i="9"/>
  <c r="H145" i="10"/>
  <c r="J144" i="10"/>
  <c r="N142" i="10"/>
  <c r="P141" i="10"/>
  <c r="G149" i="10"/>
  <c r="F156" i="10"/>
  <c r="F151" i="9"/>
  <c r="E743" i="11"/>
  <c r="E152" i="9"/>
  <c r="G146" i="9"/>
  <c r="K145" i="9"/>
  <c r="P145" i="9" s="1"/>
  <c r="N152" i="9" l="1"/>
  <c r="I152" i="9"/>
  <c r="H146" i="10"/>
  <c r="J145" i="10"/>
  <c r="N143" i="10"/>
  <c r="P142" i="10"/>
  <c r="G150" i="10"/>
  <c r="F157" i="10"/>
  <c r="H152" i="9"/>
  <c r="F152" i="9"/>
  <c r="E744" i="11"/>
  <c r="E153" i="9"/>
  <c r="G147" i="9"/>
  <c r="K146" i="9"/>
  <c r="P146" i="9" s="1"/>
  <c r="N153" i="9" l="1"/>
  <c r="H147" i="10"/>
  <c r="J146" i="10"/>
  <c r="N144" i="10"/>
  <c r="P143" i="10"/>
  <c r="G151" i="10"/>
  <c r="F158" i="10"/>
  <c r="E745" i="11"/>
  <c r="E154" i="9"/>
  <c r="F153" i="9"/>
  <c r="H153" i="9"/>
  <c r="I153" i="9"/>
  <c r="I154" i="9" s="1"/>
  <c r="G148" i="9"/>
  <c r="K147" i="9"/>
  <c r="P147" i="9" s="1"/>
  <c r="N154" i="9" l="1"/>
  <c r="F154" i="9"/>
  <c r="H148" i="10"/>
  <c r="J147" i="10"/>
  <c r="N145" i="10"/>
  <c r="P144" i="10"/>
  <c r="G152" i="10"/>
  <c r="F159" i="10"/>
  <c r="H154" i="9"/>
  <c r="E746" i="11"/>
  <c r="E155" i="9"/>
  <c r="G149" i="9"/>
  <c r="K148" i="9"/>
  <c r="P148" i="9" s="1"/>
  <c r="N155" i="9" l="1"/>
  <c r="H149" i="10"/>
  <c r="J148" i="10"/>
  <c r="N146" i="10"/>
  <c r="P145" i="10"/>
  <c r="G153" i="10"/>
  <c r="F160" i="10"/>
  <c r="E747" i="11"/>
  <c r="E156" i="9"/>
  <c r="F155" i="9"/>
  <c r="H155" i="9"/>
  <c r="I155" i="9"/>
  <c r="G150" i="9"/>
  <c r="K149" i="9"/>
  <c r="P149" i="9" s="1"/>
  <c r="I156" i="9" l="1"/>
  <c r="F156" i="9"/>
  <c r="H156" i="9"/>
  <c r="N156" i="9"/>
  <c r="H150" i="10"/>
  <c r="J149" i="10"/>
  <c r="N147" i="10"/>
  <c r="P146" i="10"/>
  <c r="G154" i="10"/>
  <c r="F161" i="10"/>
  <c r="E748" i="11"/>
  <c r="E157" i="9"/>
  <c r="G151" i="9"/>
  <c r="K150" i="9"/>
  <c r="P150" i="9" s="1"/>
  <c r="N157" i="9" l="1"/>
  <c r="H151" i="10"/>
  <c r="J150" i="10"/>
  <c r="N148" i="10"/>
  <c r="P147" i="10"/>
  <c r="G155" i="10"/>
  <c r="F162" i="10"/>
  <c r="E749" i="11"/>
  <c r="E158" i="9"/>
  <c r="F157" i="9"/>
  <c r="H157" i="9"/>
  <c r="I157" i="9"/>
  <c r="I158" i="9" s="1"/>
  <c r="G152" i="9"/>
  <c r="K151" i="9"/>
  <c r="P151" i="9" s="1"/>
  <c r="N158" i="9" l="1"/>
  <c r="H158" i="9"/>
  <c r="F158" i="9"/>
  <c r="H152" i="10"/>
  <c r="J151" i="10"/>
  <c r="N149" i="10"/>
  <c r="P148" i="10"/>
  <c r="G156" i="10"/>
  <c r="F163" i="10"/>
  <c r="E750" i="11"/>
  <c r="E159" i="9"/>
  <c r="I159" i="9" s="1"/>
  <c r="G153" i="9"/>
  <c r="K152" i="9"/>
  <c r="P152" i="9" s="1"/>
  <c r="N159" i="9" l="1"/>
  <c r="H153" i="10"/>
  <c r="J152" i="10"/>
  <c r="N150" i="10"/>
  <c r="P149" i="10"/>
  <c r="G157" i="10"/>
  <c r="F164" i="10"/>
  <c r="F159" i="9"/>
  <c r="H159" i="9"/>
  <c r="E751" i="11"/>
  <c r="E160" i="9"/>
  <c r="G154" i="9"/>
  <c r="K153" i="9"/>
  <c r="P153" i="9" s="1"/>
  <c r="N160" i="9" l="1"/>
  <c r="H154" i="10"/>
  <c r="J153" i="10"/>
  <c r="N151" i="10"/>
  <c r="P150" i="10"/>
  <c r="G158" i="10"/>
  <c r="F165" i="10"/>
  <c r="H160" i="9"/>
  <c r="I160" i="9"/>
  <c r="F160" i="9"/>
  <c r="E752" i="11"/>
  <c r="E161" i="9"/>
  <c r="G155" i="9"/>
  <c r="K154" i="9"/>
  <c r="P154" i="9" s="1"/>
  <c r="N161" i="9" l="1"/>
  <c r="I161" i="9"/>
  <c r="H155" i="10"/>
  <c r="J154" i="10"/>
  <c r="N152" i="10"/>
  <c r="P151" i="10"/>
  <c r="G159" i="10"/>
  <c r="F166" i="10"/>
  <c r="F161" i="9"/>
  <c r="E753" i="11"/>
  <c r="E162" i="9"/>
  <c r="H161" i="9"/>
  <c r="G156" i="9"/>
  <c r="K155" i="9"/>
  <c r="P155" i="9" s="1"/>
  <c r="I162" i="9" l="1"/>
  <c r="N162" i="9"/>
  <c r="H156" i="10"/>
  <c r="J155" i="10"/>
  <c r="N153" i="10"/>
  <c r="P152" i="10"/>
  <c r="G160" i="10"/>
  <c r="F167" i="10"/>
  <c r="F162" i="9"/>
  <c r="E754" i="11"/>
  <c r="E163" i="9"/>
  <c r="H162" i="9"/>
  <c r="G157" i="9"/>
  <c r="K156" i="9"/>
  <c r="P156" i="9" s="1"/>
  <c r="N163" i="9" l="1"/>
  <c r="H157" i="10"/>
  <c r="J156" i="10"/>
  <c r="N154" i="10"/>
  <c r="P153" i="10"/>
  <c r="G161" i="10"/>
  <c r="F168" i="10"/>
  <c r="E755" i="11"/>
  <c r="E164" i="9"/>
  <c r="H163" i="9"/>
  <c r="F163" i="9"/>
  <c r="I163" i="9"/>
  <c r="I164" i="9" s="1"/>
  <c r="G158" i="9"/>
  <c r="K157" i="9"/>
  <c r="P157" i="9" s="1"/>
  <c r="N164" i="9" l="1"/>
  <c r="H158" i="10"/>
  <c r="J157" i="10"/>
  <c r="N155" i="10"/>
  <c r="P154" i="10"/>
  <c r="G162" i="10"/>
  <c r="F169" i="10"/>
  <c r="F164" i="9"/>
  <c r="H164" i="9"/>
  <c r="E756" i="11"/>
  <c r="E165" i="9"/>
  <c r="G159" i="9"/>
  <c r="K158" i="9"/>
  <c r="P158" i="9" s="1"/>
  <c r="N165" i="9" l="1"/>
  <c r="H159" i="10"/>
  <c r="J158" i="10"/>
  <c r="N156" i="10"/>
  <c r="P155" i="10"/>
  <c r="G163" i="10"/>
  <c r="F170" i="10"/>
  <c r="H165" i="9"/>
  <c r="F165" i="9"/>
  <c r="E757" i="11"/>
  <c r="E166" i="9"/>
  <c r="I165" i="9"/>
  <c r="I166" i="9" s="1"/>
  <c r="G160" i="9"/>
  <c r="K159" i="9"/>
  <c r="P159" i="9" s="1"/>
  <c r="N166" i="9" l="1"/>
  <c r="H160" i="10"/>
  <c r="J159" i="10"/>
  <c r="N157" i="10"/>
  <c r="P156" i="10"/>
  <c r="G164" i="10"/>
  <c r="F171" i="10"/>
  <c r="H166" i="9"/>
  <c r="F166" i="9"/>
  <c r="E758" i="11"/>
  <c r="E167" i="9"/>
  <c r="I167" i="9" s="1"/>
  <c r="G161" i="9"/>
  <c r="K160" i="9"/>
  <c r="P160" i="9" s="1"/>
  <c r="N167" i="9" l="1"/>
  <c r="H161" i="10"/>
  <c r="J160" i="10"/>
  <c r="N158" i="10"/>
  <c r="P157" i="10"/>
  <c r="G165" i="10"/>
  <c r="F172" i="10"/>
  <c r="F167" i="9"/>
  <c r="H167" i="9"/>
  <c r="E759" i="11"/>
  <c r="E168" i="9"/>
  <c r="I168" i="9" s="1"/>
  <c r="G162" i="9"/>
  <c r="K161" i="9"/>
  <c r="P161" i="9" s="1"/>
  <c r="N168" i="9" l="1"/>
  <c r="H162" i="10"/>
  <c r="J161" i="10"/>
  <c r="N159" i="10"/>
  <c r="P158" i="10"/>
  <c r="G166" i="10"/>
  <c r="F173" i="10"/>
  <c r="F168" i="9"/>
  <c r="E760" i="11"/>
  <c r="E169" i="9"/>
  <c r="H168" i="9"/>
  <c r="H169" i="9" s="1"/>
  <c r="G163" i="9"/>
  <c r="K162" i="9"/>
  <c r="P162" i="9" s="1"/>
  <c r="N169" i="9" l="1"/>
  <c r="I169" i="9"/>
  <c r="H163" i="10"/>
  <c r="J162" i="10"/>
  <c r="N160" i="10"/>
  <c r="P159" i="10"/>
  <c r="G167" i="10"/>
  <c r="F174" i="10"/>
  <c r="E761" i="11"/>
  <c r="E170" i="9"/>
  <c r="F169" i="9"/>
  <c r="G164" i="9"/>
  <c r="K163" i="9"/>
  <c r="P163" i="9" s="1"/>
  <c r="N170" i="9" l="1"/>
  <c r="I170" i="9"/>
  <c r="H170" i="9"/>
  <c r="H164" i="10"/>
  <c r="J163" i="10"/>
  <c r="N161" i="10"/>
  <c r="P160" i="10"/>
  <c r="G168" i="10"/>
  <c r="F175" i="10"/>
  <c r="F170" i="9"/>
  <c r="E762" i="11"/>
  <c r="E171" i="9"/>
  <c r="G165" i="9"/>
  <c r="K164" i="9"/>
  <c r="P164" i="9" s="1"/>
  <c r="N171" i="9" l="1"/>
  <c r="N172" i="9" s="1"/>
  <c r="H165" i="10"/>
  <c r="J164" i="10"/>
  <c r="N162" i="10"/>
  <c r="P161" i="10"/>
  <c r="G169" i="10"/>
  <c r="F176" i="10"/>
  <c r="H171" i="9"/>
  <c r="F171" i="9"/>
  <c r="E763" i="11"/>
  <c r="E172" i="9"/>
  <c r="I171" i="9"/>
  <c r="I172" i="9" s="1"/>
  <c r="G166" i="9"/>
  <c r="K165" i="9"/>
  <c r="P165" i="9" s="1"/>
  <c r="H166" i="10" l="1"/>
  <c r="J165" i="10"/>
  <c r="N163" i="10"/>
  <c r="P162" i="10"/>
  <c r="G170" i="10"/>
  <c r="F177" i="10"/>
  <c r="H172" i="9"/>
  <c r="F172" i="9"/>
  <c r="E764" i="11"/>
  <c r="E173" i="9"/>
  <c r="I173" i="9" s="1"/>
  <c r="G167" i="9"/>
  <c r="K166" i="9"/>
  <c r="P166" i="9" s="1"/>
  <c r="N173" i="9" l="1"/>
  <c r="H173" i="9"/>
  <c r="H167" i="10"/>
  <c r="J166" i="10"/>
  <c r="N164" i="10"/>
  <c r="P163" i="10"/>
  <c r="G171" i="10"/>
  <c r="F178" i="10"/>
  <c r="F173" i="9"/>
  <c r="E765" i="11"/>
  <c r="E174" i="9"/>
  <c r="I174" i="9" s="1"/>
  <c r="G168" i="9"/>
  <c r="K167" i="9"/>
  <c r="P167" i="9" s="1"/>
  <c r="N174" i="9" l="1"/>
  <c r="H168" i="10"/>
  <c r="J167" i="10"/>
  <c r="N165" i="10"/>
  <c r="P164" i="10"/>
  <c r="G172" i="10"/>
  <c r="F179" i="10"/>
  <c r="H174" i="9"/>
  <c r="F174" i="9"/>
  <c r="E766" i="11"/>
  <c r="E175" i="9"/>
  <c r="G169" i="9"/>
  <c r="K168" i="9"/>
  <c r="P168" i="9" s="1"/>
  <c r="N175" i="9" l="1"/>
  <c r="H169" i="10"/>
  <c r="J168" i="10"/>
  <c r="N166" i="10"/>
  <c r="P165" i="10"/>
  <c r="G173" i="10"/>
  <c r="F180" i="10"/>
  <c r="E767" i="11"/>
  <c r="E176" i="9"/>
  <c r="H175" i="9"/>
  <c r="F175" i="9"/>
  <c r="I175" i="9"/>
  <c r="G170" i="9"/>
  <c r="K169" i="9"/>
  <c r="P169" i="9" s="1"/>
  <c r="N176" i="9" l="1"/>
  <c r="I176" i="9"/>
  <c r="F176" i="9"/>
  <c r="H176" i="9"/>
  <c r="H170" i="10"/>
  <c r="J169" i="10"/>
  <c r="N167" i="10"/>
  <c r="P166" i="10"/>
  <c r="G174" i="10"/>
  <c r="F181" i="10"/>
  <c r="E768" i="11"/>
  <c r="E177" i="9"/>
  <c r="G171" i="9"/>
  <c r="K170" i="9"/>
  <c r="P170" i="9" s="1"/>
  <c r="I177" i="9" l="1"/>
  <c r="N177" i="9"/>
  <c r="H171" i="10"/>
  <c r="J170" i="10"/>
  <c r="N168" i="10"/>
  <c r="P167" i="10"/>
  <c r="G175" i="10"/>
  <c r="F182" i="10"/>
  <c r="H177" i="9"/>
  <c r="F177" i="9"/>
  <c r="E769" i="11"/>
  <c r="E178" i="9"/>
  <c r="G172" i="9"/>
  <c r="K171" i="9"/>
  <c r="P171" i="9" s="1"/>
  <c r="I178" i="9" l="1"/>
  <c r="N178" i="9"/>
  <c r="H172" i="10"/>
  <c r="J171" i="10"/>
  <c r="N169" i="10"/>
  <c r="P168" i="10"/>
  <c r="H178" i="9"/>
  <c r="G176" i="10"/>
  <c r="F183" i="10"/>
  <c r="E770" i="11"/>
  <c r="E179" i="9"/>
  <c r="F178" i="9"/>
  <c r="G173" i="9"/>
  <c r="K172" i="9"/>
  <c r="P172" i="9" s="1"/>
  <c r="I179" i="9" l="1"/>
  <c r="N179" i="9"/>
  <c r="H173" i="10"/>
  <c r="J172" i="10"/>
  <c r="N170" i="10"/>
  <c r="P169" i="10"/>
  <c r="G177" i="10"/>
  <c r="F184" i="10"/>
  <c r="H179" i="9"/>
  <c r="F179" i="9"/>
  <c r="E771" i="11"/>
  <c r="E180" i="9"/>
  <c r="G174" i="9"/>
  <c r="K173" i="9"/>
  <c r="P173" i="9" s="1"/>
  <c r="I180" i="9" l="1"/>
  <c r="N180" i="9"/>
  <c r="H174" i="10"/>
  <c r="J173" i="10"/>
  <c r="N171" i="10"/>
  <c r="P170" i="10"/>
  <c r="G178" i="10"/>
  <c r="F185" i="10"/>
  <c r="F180" i="9"/>
  <c r="H180" i="9"/>
  <c r="E772" i="11"/>
  <c r="E181" i="9"/>
  <c r="G175" i="9"/>
  <c r="K174" i="9"/>
  <c r="P174" i="9" s="1"/>
  <c r="N181" i="9" l="1"/>
  <c r="H175" i="10"/>
  <c r="J174" i="10"/>
  <c r="N172" i="10"/>
  <c r="P171" i="10"/>
  <c r="G179" i="10"/>
  <c r="F186" i="10"/>
  <c r="E773" i="11"/>
  <c r="E182" i="9"/>
  <c r="H181" i="9"/>
  <c r="F181" i="9"/>
  <c r="I181" i="9"/>
  <c r="I182" i="9" s="1"/>
  <c r="G176" i="9"/>
  <c r="K175" i="9"/>
  <c r="P175" i="9" s="1"/>
  <c r="N182" i="9" l="1"/>
  <c r="H182" i="9"/>
  <c r="H176" i="10"/>
  <c r="J175" i="10"/>
  <c r="N173" i="10"/>
  <c r="P172" i="10"/>
  <c r="G180" i="10"/>
  <c r="F187" i="10"/>
  <c r="F182" i="9"/>
  <c r="E774" i="11"/>
  <c r="E183" i="9"/>
  <c r="G177" i="9"/>
  <c r="K176" i="9"/>
  <c r="P176" i="9" s="1"/>
  <c r="N183" i="9" l="1"/>
  <c r="H177" i="10"/>
  <c r="J176" i="10"/>
  <c r="N174" i="10"/>
  <c r="P173" i="10"/>
  <c r="G181" i="10"/>
  <c r="F188" i="10"/>
  <c r="E775" i="11"/>
  <c r="E184" i="9"/>
  <c r="F183" i="9"/>
  <c r="H183" i="9"/>
  <c r="I183" i="9"/>
  <c r="G178" i="9"/>
  <c r="K177" i="9"/>
  <c r="P177" i="9" s="1"/>
  <c r="N184" i="9" l="1"/>
  <c r="H178" i="10"/>
  <c r="J177" i="10"/>
  <c r="N175" i="10"/>
  <c r="P174" i="10"/>
  <c r="G182" i="10"/>
  <c r="F189" i="10"/>
  <c r="F184" i="9"/>
  <c r="E776" i="11"/>
  <c r="E185" i="9"/>
  <c r="I184" i="9"/>
  <c r="H184" i="9"/>
  <c r="G179" i="9"/>
  <c r="K178" i="9"/>
  <c r="P178" i="9" s="1"/>
  <c r="N185" i="9" l="1"/>
  <c r="I185" i="9"/>
  <c r="H179" i="10"/>
  <c r="J178" i="10"/>
  <c r="N176" i="10"/>
  <c r="P175" i="10"/>
  <c r="G183" i="10"/>
  <c r="F190" i="10"/>
  <c r="F185" i="9"/>
  <c r="H185" i="9"/>
  <c r="E777" i="11"/>
  <c r="E186" i="9"/>
  <c r="G180" i="9"/>
  <c r="K179" i="9"/>
  <c r="P179" i="9" s="1"/>
  <c r="N186" i="9" l="1"/>
  <c r="H186" i="9"/>
  <c r="H180" i="10"/>
  <c r="J179" i="10"/>
  <c r="N177" i="10"/>
  <c r="P176" i="10"/>
  <c r="G184" i="10"/>
  <c r="F191" i="10"/>
  <c r="F186" i="9"/>
  <c r="E778" i="11"/>
  <c r="E187" i="9"/>
  <c r="I186" i="9"/>
  <c r="G181" i="9"/>
  <c r="K180" i="9"/>
  <c r="P180" i="9" s="1"/>
  <c r="N187" i="9" l="1"/>
  <c r="N188" i="9" s="1"/>
  <c r="I187" i="9"/>
  <c r="H181" i="10"/>
  <c r="J180" i="10"/>
  <c r="N178" i="10"/>
  <c r="P177" i="10"/>
  <c r="G185" i="10"/>
  <c r="F192" i="10"/>
  <c r="E779" i="11"/>
  <c r="E188" i="9"/>
  <c r="H187" i="9"/>
  <c r="H188" i="9" s="1"/>
  <c r="F187" i="9"/>
  <c r="G182" i="9"/>
  <c r="K181" i="9"/>
  <c r="P181" i="9" s="1"/>
  <c r="I188" i="9" l="1"/>
  <c r="H182" i="10"/>
  <c r="J181" i="10"/>
  <c r="N179" i="10"/>
  <c r="P178" i="10"/>
  <c r="G186" i="10"/>
  <c r="F193" i="10"/>
  <c r="F188" i="9"/>
  <c r="E780" i="11"/>
  <c r="E189" i="9"/>
  <c r="N189" i="9" s="1"/>
  <c r="G183" i="9"/>
  <c r="K182" i="9"/>
  <c r="P182" i="9" s="1"/>
  <c r="H183" i="10" l="1"/>
  <c r="J182" i="10"/>
  <c r="N180" i="10"/>
  <c r="P179" i="10"/>
  <c r="G187" i="10"/>
  <c r="F194" i="10"/>
  <c r="H189" i="9"/>
  <c r="F189" i="9"/>
  <c r="F190" i="9" s="1"/>
  <c r="E781" i="11"/>
  <c r="E190" i="9"/>
  <c r="I189" i="9"/>
  <c r="I190" i="9" s="1"/>
  <c r="N190" i="9"/>
  <c r="G184" i="9"/>
  <c r="K183" i="9"/>
  <c r="P183" i="9" s="1"/>
  <c r="H184" i="10" l="1"/>
  <c r="J183" i="10"/>
  <c r="N181" i="10"/>
  <c r="P180" i="10"/>
  <c r="H190" i="9"/>
  <c r="G188" i="10"/>
  <c r="F195" i="10"/>
  <c r="E782" i="11"/>
  <c r="E191" i="9"/>
  <c r="N191" i="9" s="1"/>
  <c r="G185" i="9"/>
  <c r="K184" i="9"/>
  <c r="P184" i="9" s="1"/>
  <c r="H185" i="10" l="1"/>
  <c r="J184" i="10"/>
  <c r="N182" i="10"/>
  <c r="P181" i="10"/>
  <c r="G189" i="10"/>
  <c r="F196" i="10"/>
  <c r="H191" i="9"/>
  <c r="E783" i="11"/>
  <c r="E192" i="9"/>
  <c r="N192" i="9" s="1"/>
  <c r="I191" i="9"/>
  <c r="F191" i="9"/>
  <c r="G186" i="9"/>
  <c r="K185" i="9"/>
  <c r="P185" i="9" s="1"/>
  <c r="H186" i="10" l="1"/>
  <c r="J185" i="10"/>
  <c r="N183" i="10"/>
  <c r="P182" i="10"/>
  <c r="G190" i="10"/>
  <c r="F197" i="10"/>
  <c r="H192" i="9"/>
  <c r="F192" i="9"/>
  <c r="I192" i="9"/>
  <c r="E784" i="11"/>
  <c r="E193" i="9"/>
  <c r="N193" i="9" s="1"/>
  <c r="G187" i="9"/>
  <c r="K186" i="9"/>
  <c r="P186" i="9" s="1"/>
  <c r="H187" i="10" l="1"/>
  <c r="J186" i="10"/>
  <c r="N184" i="10"/>
  <c r="P183" i="10"/>
  <c r="G191" i="10"/>
  <c r="F198" i="10"/>
  <c r="H193" i="9"/>
  <c r="I193" i="9"/>
  <c r="E785" i="11"/>
  <c r="E194" i="9"/>
  <c r="N194" i="9"/>
  <c r="F193" i="9"/>
  <c r="G188" i="9"/>
  <c r="K187" i="9"/>
  <c r="P187" i="9" s="1"/>
  <c r="I194" i="9" l="1"/>
  <c r="H188" i="10"/>
  <c r="J187" i="10"/>
  <c r="N185" i="10"/>
  <c r="P184" i="10"/>
  <c r="G192" i="10"/>
  <c r="F199" i="10"/>
  <c r="H194" i="9"/>
  <c r="F194" i="9"/>
  <c r="E786" i="11"/>
  <c r="E195" i="9"/>
  <c r="N195" i="9" s="1"/>
  <c r="G189" i="9"/>
  <c r="K188" i="9"/>
  <c r="P188" i="9" s="1"/>
  <c r="H189" i="10" l="1"/>
  <c r="J188" i="10"/>
  <c r="N186" i="10"/>
  <c r="P185" i="10"/>
  <c r="G193" i="10"/>
  <c r="F200" i="10"/>
  <c r="F195" i="9"/>
  <c r="H195" i="9"/>
  <c r="E787" i="11"/>
  <c r="E196" i="9"/>
  <c r="N196" i="9"/>
  <c r="I195" i="9"/>
  <c r="I196" i="9" s="1"/>
  <c r="G190" i="9"/>
  <c r="K189" i="9"/>
  <c r="P189" i="9" s="1"/>
  <c r="H190" i="10" l="1"/>
  <c r="J189" i="10"/>
  <c r="N187" i="10"/>
  <c r="P186" i="10"/>
  <c r="G194" i="10"/>
  <c r="F201" i="10"/>
  <c r="E788" i="11"/>
  <c r="E197" i="9"/>
  <c r="I197" i="9" s="1"/>
  <c r="H196" i="9"/>
  <c r="F196" i="9"/>
  <c r="G191" i="9"/>
  <c r="K190" i="9"/>
  <c r="P190" i="9" s="1"/>
  <c r="N197" i="9" l="1"/>
  <c r="F197" i="9"/>
  <c r="H191" i="10"/>
  <c r="J190" i="10"/>
  <c r="N188" i="10"/>
  <c r="P187" i="10"/>
  <c r="G195" i="10"/>
  <c r="F202" i="10"/>
  <c r="H197" i="9"/>
  <c r="E789" i="11"/>
  <c r="E198" i="9"/>
  <c r="G192" i="9"/>
  <c r="K191" i="9"/>
  <c r="P191" i="9" s="1"/>
  <c r="N198" i="9" l="1"/>
  <c r="N199" i="9" s="1"/>
  <c r="H192" i="10"/>
  <c r="J191" i="10"/>
  <c r="N189" i="10"/>
  <c r="P188" i="10"/>
  <c r="G196" i="10"/>
  <c r="F203" i="10"/>
  <c r="F198" i="9"/>
  <c r="H198" i="9"/>
  <c r="E790" i="11"/>
  <c r="E199" i="9"/>
  <c r="I198" i="9"/>
  <c r="I199" i="9" s="1"/>
  <c r="G193" i="9"/>
  <c r="K192" i="9"/>
  <c r="P192" i="9" s="1"/>
  <c r="H193" i="10" l="1"/>
  <c r="J192" i="10"/>
  <c r="N190" i="10"/>
  <c r="P189" i="10"/>
  <c r="G197" i="10"/>
  <c r="F204" i="10"/>
  <c r="E791" i="11"/>
  <c r="E200" i="9"/>
  <c r="N200" i="9" s="1"/>
  <c r="H199" i="9"/>
  <c r="F199" i="9"/>
  <c r="G194" i="9"/>
  <c r="K193" i="9"/>
  <c r="P193" i="9" s="1"/>
  <c r="H194" i="10" l="1"/>
  <c r="J193" i="10"/>
  <c r="N191" i="10"/>
  <c r="P190" i="10"/>
  <c r="G198" i="10"/>
  <c r="F205" i="10"/>
  <c r="E792" i="11"/>
  <c r="E201" i="9"/>
  <c r="N201" i="9" s="1"/>
  <c r="F200" i="9"/>
  <c r="H200" i="9"/>
  <c r="I200" i="9"/>
  <c r="I201" i="9" s="1"/>
  <c r="G195" i="9"/>
  <c r="K194" i="9"/>
  <c r="P194" i="9" s="1"/>
  <c r="H195" i="10" l="1"/>
  <c r="J194" i="10"/>
  <c r="N192" i="10"/>
  <c r="P191" i="10"/>
  <c r="G199" i="10"/>
  <c r="F206" i="10"/>
  <c r="H201" i="9"/>
  <c r="F201" i="9"/>
  <c r="E793" i="11"/>
  <c r="E202" i="9"/>
  <c r="N202" i="9" s="1"/>
  <c r="G196" i="9"/>
  <c r="K195" i="9"/>
  <c r="P195" i="9" s="1"/>
  <c r="H196" i="10" l="1"/>
  <c r="J195" i="10"/>
  <c r="N193" i="10"/>
  <c r="P192" i="10"/>
  <c r="G200" i="10"/>
  <c r="F207" i="10"/>
  <c r="F202" i="9"/>
  <c r="H202" i="9"/>
  <c r="E794" i="11"/>
  <c r="E203" i="9"/>
  <c r="N203" i="9" s="1"/>
  <c r="I202" i="9"/>
  <c r="G197" i="9"/>
  <c r="K196" i="9"/>
  <c r="P196" i="9" s="1"/>
  <c r="I203" i="9" l="1"/>
  <c r="H197" i="10"/>
  <c r="J196" i="10"/>
  <c r="N194" i="10"/>
  <c r="P193" i="10"/>
  <c r="H203" i="9"/>
  <c r="G201" i="10"/>
  <c r="F208" i="10"/>
  <c r="E795" i="11"/>
  <c r="E204" i="9"/>
  <c r="F203" i="9"/>
  <c r="G198" i="9"/>
  <c r="K197" i="9"/>
  <c r="P197" i="9" s="1"/>
  <c r="I204" i="9" l="1"/>
  <c r="N204" i="9"/>
  <c r="H198" i="10"/>
  <c r="J197" i="10"/>
  <c r="N195" i="10"/>
  <c r="P194" i="10"/>
  <c r="G202" i="10"/>
  <c r="F209" i="10"/>
  <c r="H204" i="9"/>
  <c r="F204" i="9"/>
  <c r="E796" i="11"/>
  <c r="E205" i="9"/>
  <c r="G199" i="9"/>
  <c r="K198" i="9"/>
  <c r="P198" i="9" s="1"/>
  <c r="N205" i="9" l="1"/>
  <c r="H199" i="10"/>
  <c r="J198" i="10"/>
  <c r="N196" i="10"/>
  <c r="P195" i="10"/>
  <c r="G203" i="10"/>
  <c r="F210" i="10"/>
  <c r="E797" i="11"/>
  <c r="E206" i="9"/>
  <c r="H205" i="9"/>
  <c r="F205" i="9"/>
  <c r="I205" i="9"/>
  <c r="G200" i="9"/>
  <c r="K199" i="9"/>
  <c r="P199" i="9" s="1"/>
  <c r="N206" i="9" l="1"/>
  <c r="I206" i="9"/>
  <c r="F206" i="9"/>
  <c r="H200" i="10"/>
  <c r="J199" i="10"/>
  <c r="N197" i="10"/>
  <c r="P196" i="10"/>
  <c r="G204" i="10"/>
  <c r="F211" i="10"/>
  <c r="H206" i="9"/>
  <c r="E798" i="11"/>
  <c r="E207" i="9"/>
  <c r="G201" i="9"/>
  <c r="K200" i="9"/>
  <c r="P200" i="9" s="1"/>
  <c r="N207" i="9" l="1"/>
  <c r="H201" i="10"/>
  <c r="J200" i="10"/>
  <c r="N198" i="10"/>
  <c r="P197" i="10"/>
  <c r="G205" i="10"/>
  <c r="F212" i="10"/>
  <c r="E799" i="11"/>
  <c r="E208" i="9"/>
  <c r="H207" i="9"/>
  <c r="F207" i="9"/>
  <c r="I207" i="9"/>
  <c r="I208" i="9" s="1"/>
  <c r="G202" i="9"/>
  <c r="K201" i="9"/>
  <c r="P201" i="9" s="1"/>
  <c r="N208" i="9" l="1"/>
  <c r="H208" i="9"/>
  <c r="H202" i="10"/>
  <c r="J201" i="10"/>
  <c r="N199" i="10"/>
  <c r="P198" i="10"/>
  <c r="G206" i="10"/>
  <c r="F213" i="10"/>
  <c r="F208" i="9"/>
  <c r="E800" i="11"/>
  <c r="E209" i="9"/>
  <c r="G203" i="9"/>
  <c r="K202" i="9"/>
  <c r="P202" i="9" s="1"/>
  <c r="N209" i="9" l="1"/>
  <c r="H203" i="10"/>
  <c r="J202" i="10"/>
  <c r="N200" i="10"/>
  <c r="P199" i="10"/>
  <c r="G207" i="10"/>
  <c r="F214" i="10"/>
  <c r="H209" i="9"/>
  <c r="F209" i="9"/>
  <c r="E801" i="11"/>
  <c r="E210" i="9"/>
  <c r="I209" i="9"/>
  <c r="G204" i="9"/>
  <c r="K203" i="9"/>
  <c r="P203" i="9" s="1"/>
  <c r="N210" i="9" l="1"/>
  <c r="N211" i="9" s="1"/>
  <c r="I210" i="9"/>
  <c r="H204" i="10"/>
  <c r="J203" i="10"/>
  <c r="N201" i="10"/>
  <c r="P200" i="10"/>
  <c r="G208" i="10"/>
  <c r="F215" i="10"/>
  <c r="E802" i="11"/>
  <c r="E211" i="9"/>
  <c r="F210" i="9"/>
  <c r="H210" i="9"/>
  <c r="H211" i="9" s="1"/>
  <c r="G205" i="9"/>
  <c r="K204" i="9"/>
  <c r="P204" i="9" s="1"/>
  <c r="I211" i="9" l="1"/>
  <c r="H205" i="10"/>
  <c r="J204" i="10"/>
  <c r="N202" i="10"/>
  <c r="P201" i="10"/>
  <c r="G209" i="10"/>
  <c r="F216" i="10"/>
  <c r="F211" i="9"/>
  <c r="E803" i="11"/>
  <c r="E212" i="9"/>
  <c r="N212" i="9" s="1"/>
  <c r="G206" i="9"/>
  <c r="K205" i="9"/>
  <c r="P205" i="9" s="1"/>
  <c r="H206" i="10" l="1"/>
  <c r="J205" i="10"/>
  <c r="N203" i="10"/>
  <c r="P202" i="10"/>
  <c r="G210" i="10"/>
  <c r="F217" i="10"/>
  <c r="E804" i="11"/>
  <c r="E213" i="9"/>
  <c r="N213" i="9"/>
  <c r="H212" i="9"/>
  <c r="F212" i="9"/>
  <c r="I212" i="9"/>
  <c r="I213" i="9" s="1"/>
  <c r="G207" i="9"/>
  <c r="K206" i="9"/>
  <c r="P206" i="9" s="1"/>
  <c r="H213" i="9" l="1"/>
  <c r="H207" i="10"/>
  <c r="J206" i="10"/>
  <c r="N204" i="10"/>
  <c r="P203" i="10"/>
  <c r="G211" i="10"/>
  <c r="F218" i="10"/>
  <c r="F213" i="9"/>
  <c r="E805" i="11"/>
  <c r="E214" i="9"/>
  <c r="G208" i="9"/>
  <c r="K207" i="9"/>
  <c r="P207" i="9" s="1"/>
  <c r="H214" i="9" l="1"/>
  <c r="N214" i="9"/>
  <c r="H208" i="10"/>
  <c r="J207" i="10"/>
  <c r="N205" i="10"/>
  <c r="P204" i="10"/>
  <c r="G212" i="10"/>
  <c r="F219" i="10"/>
  <c r="F214" i="9"/>
  <c r="E806" i="11"/>
  <c r="E215" i="9"/>
  <c r="I214" i="9"/>
  <c r="G209" i="9"/>
  <c r="K208" i="9"/>
  <c r="P208" i="9" s="1"/>
  <c r="I215" i="9" l="1"/>
  <c r="H215" i="9"/>
  <c r="N215" i="9"/>
  <c r="H209" i="10"/>
  <c r="J208" i="10"/>
  <c r="N206" i="10"/>
  <c r="P205" i="10"/>
  <c r="G213" i="10"/>
  <c r="F220" i="10"/>
  <c r="E807" i="11"/>
  <c r="E216" i="9"/>
  <c r="F215" i="9"/>
  <c r="G210" i="9"/>
  <c r="K209" i="9"/>
  <c r="P209" i="9" s="1"/>
  <c r="I216" i="9" l="1"/>
  <c r="N216" i="9"/>
  <c r="H216" i="9"/>
  <c r="H210" i="10"/>
  <c r="J209" i="10"/>
  <c r="N207" i="10"/>
  <c r="P206" i="10"/>
  <c r="G214" i="10"/>
  <c r="F221" i="10"/>
  <c r="F216" i="9"/>
  <c r="E808" i="11"/>
  <c r="E217" i="9"/>
  <c r="G211" i="9"/>
  <c r="K210" i="9"/>
  <c r="P210" i="9" s="1"/>
  <c r="N217" i="9" l="1"/>
  <c r="H211" i="10"/>
  <c r="J210" i="10"/>
  <c r="N208" i="10"/>
  <c r="P207" i="10"/>
  <c r="G215" i="10"/>
  <c r="F222" i="10"/>
  <c r="H217" i="9"/>
  <c r="F217" i="9"/>
  <c r="E809" i="11"/>
  <c r="E218" i="9"/>
  <c r="I217" i="9"/>
  <c r="G212" i="9"/>
  <c r="K211" i="9"/>
  <c r="P211" i="9" s="1"/>
  <c r="N218" i="9" l="1"/>
  <c r="I218" i="9"/>
  <c r="H212" i="10"/>
  <c r="J211" i="10"/>
  <c r="N209" i="10"/>
  <c r="P208" i="10"/>
  <c r="G216" i="10"/>
  <c r="F223" i="10"/>
  <c r="H218" i="9"/>
  <c r="E810" i="11"/>
  <c r="E219" i="9"/>
  <c r="F218" i="9"/>
  <c r="G213" i="9"/>
  <c r="K212" i="9"/>
  <c r="P212" i="9" s="1"/>
  <c r="N219" i="9" l="1"/>
  <c r="N220" i="9" s="1"/>
  <c r="H219" i="9"/>
  <c r="H213" i="10"/>
  <c r="J212" i="10"/>
  <c r="N210" i="10"/>
  <c r="P209" i="10"/>
  <c r="G217" i="10"/>
  <c r="F224" i="10"/>
  <c r="I219" i="9"/>
  <c r="F219" i="9"/>
  <c r="E811" i="11"/>
  <c r="E220" i="9"/>
  <c r="G214" i="9"/>
  <c r="K213" i="9"/>
  <c r="P213" i="9" s="1"/>
  <c r="H214" i="10" l="1"/>
  <c r="J213" i="10"/>
  <c r="N211" i="10"/>
  <c r="P210" i="10"/>
  <c r="G218" i="10"/>
  <c r="F225" i="10"/>
  <c r="I220" i="9"/>
  <c r="E812" i="11"/>
  <c r="E221" i="9"/>
  <c r="N221" i="9" s="1"/>
  <c r="H220" i="9"/>
  <c r="F220" i="9"/>
  <c r="G215" i="9"/>
  <c r="K214" i="9"/>
  <c r="P214" i="9" s="1"/>
  <c r="H221" i="9" l="1"/>
  <c r="I221" i="9"/>
  <c r="H215" i="10"/>
  <c r="J214" i="10"/>
  <c r="N212" i="10"/>
  <c r="P211" i="10"/>
  <c r="G219" i="10"/>
  <c r="F226" i="10"/>
  <c r="F221" i="9"/>
  <c r="E813" i="11"/>
  <c r="E222" i="9"/>
  <c r="N222" i="9" s="1"/>
  <c r="G216" i="9"/>
  <c r="K215" i="9"/>
  <c r="P215" i="9" s="1"/>
  <c r="H216" i="10" l="1"/>
  <c r="J215" i="10"/>
  <c r="N213" i="10"/>
  <c r="P212" i="10"/>
  <c r="G220" i="10"/>
  <c r="F227" i="10"/>
  <c r="E814" i="11"/>
  <c r="E223" i="9"/>
  <c r="H222" i="9"/>
  <c r="H223" i="9" s="1"/>
  <c r="F222" i="9"/>
  <c r="I222" i="9"/>
  <c r="I223" i="9" s="1"/>
  <c r="N223" i="9"/>
  <c r="G217" i="9"/>
  <c r="K216" i="9"/>
  <c r="P216" i="9" s="1"/>
  <c r="H217" i="10" l="1"/>
  <c r="J216" i="10"/>
  <c r="N214" i="10"/>
  <c r="P213" i="10"/>
  <c r="G221" i="10"/>
  <c r="F228" i="10"/>
  <c r="F223" i="9"/>
  <c r="E815" i="11"/>
  <c r="E224" i="9"/>
  <c r="N224" i="9" s="1"/>
  <c r="G218" i="9"/>
  <c r="K217" i="9"/>
  <c r="P217" i="9" s="1"/>
  <c r="I224" i="9" l="1"/>
  <c r="H218" i="10"/>
  <c r="J217" i="10"/>
  <c r="N215" i="10"/>
  <c r="P214" i="10"/>
  <c r="G222" i="10"/>
  <c r="F229" i="10"/>
  <c r="F224" i="9"/>
  <c r="H224" i="9"/>
  <c r="E816" i="11"/>
  <c r="E225" i="9"/>
  <c r="N225" i="9" s="1"/>
  <c r="G219" i="9"/>
  <c r="K218" i="9"/>
  <c r="P218" i="9" s="1"/>
  <c r="H219" i="10" l="1"/>
  <c r="J218" i="10"/>
  <c r="N216" i="10"/>
  <c r="P215" i="10"/>
  <c r="G223" i="10"/>
  <c r="F230" i="10"/>
  <c r="F225" i="9"/>
  <c r="E817" i="11"/>
  <c r="E226" i="9"/>
  <c r="N226" i="9" s="1"/>
  <c r="H225" i="9"/>
  <c r="I225" i="9"/>
  <c r="I226" i="9" s="1"/>
  <c r="G220" i="9"/>
  <c r="K219" i="9"/>
  <c r="P219" i="9" s="1"/>
  <c r="H220" i="10" l="1"/>
  <c r="J219" i="10"/>
  <c r="N217" i="10"/>
  <c r="P216" i="10"/>
  <c r="G224" i="10"/>
  <c r="F231" i="10"/>
  <c r="E818" i="11"/>
  <c r="E227" i="9"/>
  <c r="I227" i="9"/>
  <c r="H226" i="9"/>
  <c r="H227" i="9" s="1"/>
  <c r="N227" i="9"/>
  <c r="F226" i="9"/>
  <c r="G221" i="9"/>
  <c r="K220" i="9"/>
  <c r="P220" i="9" s="1"/>
  <c r="H221" i="10" l="1"/>
  <c r="J220" i="10"/>
  <c r="N218" i="10"/>
  <c r="P217" i="10"/>
  <c r="G225" i="10"/>
  <c r="F232" i="10"/>
  <c r="F227" i="9"/>
  <c r="E819" i="11"/>
  <c r="E228" i="9"/>
  <c r="N228" i="9" s="1"/>
  <c r="G222" i="9"/>
  <c r="K221" i="9"/>
  <c r="P221" i="9" s="1"/>
  <c r="H222" i="10" l="1"/>
  <c r="J221" i="10"/>
  <c r="N219" i="10"/>
  <c r="P218" i="10"/>
  <c r="G226" i="10"/>
  <c r="F233" i="10"/>
  <c r="H228" i="9"/>
  <c r="F228" i="9"/>
  <c r="E820" i="11"/>
  <c r="E229" i="9"/>
  <c r="I228" i="9"/>
  <c r="I229" i="9" s="1"/>
  <c r="N229" i="9"/>
  <c r="G223" i="9"/>
  <c r="K222" i="9"/>
  <c r="P222" i="9" s="1"/>
  <c r="H223" i="10" l="1"/>
  <c r="J222" i="10"/>
  <c r="N220" i="10"/>
  <c r="P219" i="10"/>
  <c r="G227" i="10"/>
  <c r="F234" i="10"/>
  <c r="H229" i="9"/>
  <c r="F229" i="9"/>
  <c r="E821" i="11"/>
  <c r="E230" i="9"/>
  <c r="N230" i="9" s="1"/>
  <c r="G224" i="9"/>
  <c r="K223" i="9"/>
  <c r="P223" i="9" s="1"/>
  <c r="H224" i="10" l="1"/>
  <c r="J223" i="10"/>
  <c r="N221" i="10"/>
  <c r="P220" i="10"/>
  <c r="G228" i="10"/>
  <c r="F235" i="10"/>
  <c r="E822" i="11"/>
  <c r="E231" i="9"/>
  <c r="F230" i="9"/>
  <c r="H230" i="9"/>
  <c r="I230" i="9"/>
  <c r="I231" i="9" s="1"/>
  <c r="N231" i="9"/>
  <c r="G225" i="9"/>
  <c r="K224" i="9"/>
  <c r="P224" i="9" s="1"/>
  <c r="H225" i="10" l="1"/>
  <c r="J224" i="10"/>
  <c r="N222" i="10"/>
  <c r="P221" i="10"/>
  <c r="G229" i="10"/>
  <c r="F236" i="10"/>
  <c r="H231" i="9"/>
  <c r="F231" i="9"/>
  <c r="E823" i="11"/>
  <c r="E232" i="9"/>
  <c r="N232" i="9" s="1"/>
  <c r="G226" i="9"/>
  <c r="K225" i="9"/>
  <c r="P225" i="9" s="1"/>
  <c r="H226" i="10" l="1"/>
  <c r="J225" i="10"/>
  <c r="N223" i="10"/>
  <c r="P222" i="10"/>
  <c r="G230" i="10"/>
  <c r="F237" i="10"/>
  <c r="E824" i="11"/>
  <c r="E233" i="9"/>
  <c r="H232" i="9"/>
  <c r="F232" i="9"/>
  <c r="I232" i="9"/>
  <c r="I233" i="9" s="1"/>
  <c r="N233" i="9"/>
  <c r="G227" i="9"/>
  <c r="K226" i="9"/>
  <c r="P226" i="9" s="1"/>
  <c r="H227" i="10" l="1"/>
  <c r="J226" i="10"/>
  <c r="N224" i="10"/>
  <c r="P223" i="10"/>
  <c r="G231" i="10"/>
  <c r="F238" i="10"/>
  <c r="F233" i="9"/>
  <c r="H233" i="9"/>
  <c r="E825" i="11"/>
  <c r="E234" i="9"/>
  <c r="I234" i="9" s="1"/>
  <c r="G228" i="9"/>
  <c r="K227" i="9"/>
  <c r="P227" i="9" s="1"/>
  <c r="N234" i="9" l="1"/>
  <c r="N235" i="9" s="1"/>
  <c r="H228" i="10"/>
  <c r="J227" i="10"/>
  <c r="N225" i="10"/>
  <c r="P224" i="10"/>
  <c r="G232" i="10"/>
  <c r="F239" i="10"/>
  <c r="H234" i="9"/>
  <c r="F234" i="9"/>
  <c r="E826" i="11"/>
  <c r="E235" i="9"/>
  <c r="G229" i="9"/>
  <c r="K228" i="9"/>
  <c r="P228" i="9" s="1"/>
  <c r="H229" i="10" l="1"/>
  <c r="J228" i="10"/>
  <c r="N226" i="10"/>
  <c r="P225" i="10"/>
  <c r="G233" i="10"/>
  <c r="F240" i="10"/>
  <c r="H235" i="9"/>
  <c r="F235" i="9"/>
  <c r="E827" i="11"/>
  <c r="E236" i="9"/>
  <c r="N236" i="9" s="1"/>
  <c r="I235" i="9"/>
  <c r="G230" i="9"/>
  <c r="K229" i="9"/>
  <c r="P229" i="9" s="1"/>
  <c r="I236" i="9" l="1"/>
  <c r="H230" i="10"/>
  <c r="J229" i="10"/>
  <c r="N227" i="10"/>
  <c r="P226" i="10"/>
  <c r="G234" i="10"/>
  <c r="F241" i="10"/>
  <c r="F236" i="9"/>
  <c r="E828" i="11"/>
  <c r="E237" i="9"/>
  <c r="H236" i="9"/>
  <c r="G231" i="9"/>
  <c r="K230" i="9"/>
  <c r="P230" i="9" s="1"/>
  <c r="I237" i="9" l="1"/>
  <c r="N237" i="9"/>
  <c r="H231" i="10"/>
  <c r="J230" i="10"/>
  <c r="N228" i="10"/>
  <c r="P227" i="10"/>
  <c r="G235" i="10"/>
  <c r="F242" i="10"/>
  <c r="H237" i="9"/>
  <c r="F237" i="9"/>
  <c r="E829" i="11"/>
  <c r="E238" i="9"/>
  <c r="G232" i="9"/>
  <c r="K231" i="9"/>
  <c r="P231" i="9" s="1"/>
  <c r="N238" i="9" l="1"/>
  <c r="H232" i="10"/>
  <c r="J231" i="10"/>
  <c r="N229" i="10"/>
  <c r="P228" i="10"/>
  <c r="G236" i="10"/>
  <c r="F243" i="10"/>
  <c r="H238" i="9"/>
  <c r="F238" i="9"/>
  <c r="E830" i="11"/>
  <c r="E239" i="9"/>
  <c r="I238" i="9"/>
  <c r="G233" i="9"/>
  <c r="K232" i="9"/>
  <c r="P232" i="9" s="1"/>
  <c r="N239" i="9" l="1"/>
  <c r="H233" i="10"/>
  <c r="J232" i="10"/>
  <c r="N230" i="10"/>
  <c r="P229" i="10"/>
  <c r="G237" i="10"/>
  <c r="F244" i="10"/>
  <c r="E831" i="11"/>
  <c r="E240" i="9"/>
  <c r="F239" i="9"/>
  <c r="H239" i="9"/>
  <c r="I239" i="9"/>
  <c r="I240" i="9" s="1"/>
  <c r="G234" i="9"/>
  <c r="K233" i="9"/>
  <c r="P233" i="9" s="1"/>
  <c r="N240" i="9" l="1"/>
  <c r="F240" i="9"/>
  <c r="H234" i="10"/>
  <c r="J233" i="10"/>
  <c r="N231" i="10"/>
  <c r="P230" i="10"/>
  <c r="G238" i="10"/>
  <c r="F245" i="10"/>
  <c r="H240" i="9"/>
  <c r="E832" i="11"/>
  <c r="E241" i="9"/>
  <c r="G235" i="9"/>
  <c r="K234" i="9"/>
  <c r="P234" i="9" s="1"/>
  <c r="N241" i="9" l="1"/>
  <c r="H235" i="10"/>
  <c r="J234" i="10"/>
  <c r="N232" i="10"/>
  <c r="P231" i="10"/>
  <c r="G239" i="10"/>
  <c r="F246" i="10"/>
  <c r="E833" i="11"/>
  <c r="E242" i="9"/>
  <c r="H241" i="9"/>
  <c r="F241" i="9"/>
  <c r="I241" i="9"/>
  <c r="G236" i="9"/>
  <c r="K235" i="9"/>
  <c r="P235" i="9" s="1"/>
  <c r="N242" i="9" l="1"/>
  <c r="I242" i="9"/>
  <c r="F242" i="9"/>
  <c r="H242" i="9"/>
  <c r="H236" i="10"/>
  <c r="J235" i="10"/>
  <c r="N233" i="10"/>
  <c r="P232" i="10"/>
  <c r="G240" i="10"/>
  <c r="F247" i="10"/>
  <c r="E834" i="11"/>
  <c r="E243" i="9"/>
  <c r="G237" i="9"/>
  <c r="K236" i="9"/>
  <c r="P236" i="9" s="1"/>
  <c r="N243" i="9" l="1"/>
  <c r="H237" i="10"/>
  <c r="J236" i="10"/>
  <c r="N234" i="10"/>
  <c r="P233" i="10"/>
  <c r="G241" i="10"/>
  <c r="F248" i="10"/>
  <c r="E835" i="11"/>
  <c r="E244" i="9"/>
  <c r="H243" i="9"/>
  <c r="F243" i="9"/>
  <c r="I243" i="9"/>
  <c r="I244" i="9" s="1"/>
  <c r="G238" i="9"/>
  <c r="K237" i="9"/>
  <c r="P237" i="9" s="1"/>
  <c r="N244" i="9" l="1"/>
  <c r="H238" i="10"/>
  <c r="J237" i="10"/>
  <c r="N235" i="10"/>
  <c r="P234" i="10"/>
  <c r="G242" i="10"/>
  <c r="F249" i="10"/>
  <c r="H244" i="9"/>
  <c r="F244" i="9"/>
  <c r="E836" i="11"/>
  <c r="E245" i="9"/>
  <c r="G239" i="9"/>
  <c r="K238" i="9"/>
  <c r="P238" i="9" s="1"/>
  <c r="N245" i="9" l="1"/>
  <c r="H239" i="10"/>
  <c r="J238" i="10"/>
  <c r="N236" i="10"/>
  <c r="P235" i="10"/>
  <c r="G243" i="10"/>
  <c r="F250" i="10"/>
  <c r="E837" i="11"/>
  <c r="E246" i="9"/>
  <c r="I245" i="9"/>
  <c r="I246" i="9" s="1"/>
  <c r="H245" i="9"/>
  <c r="H246" i="9" s="1"/>
  <c r="F245" i="9"/>
  <c r="G240" i="9"/>
  <c r="K239" i="9"/>
  <c r="P239" i="9" s="1"/>
  <c r="N246" i="9" l="1"/>
  <c r="H240" i="10"/>
  <c r="J239" i="10"/>
  <c r="N237" i="10"/>
  <c r="P236" i="10"/>
  <c r="G244" i="10"/>
  <c r="F251" i="10"/>
  <c r="F246" i="9"/>
  <c r="E838" i="11"/>
  <c r="E247" i="9"/>
  <c r="G241" i="9"/>
  <c r="K240" i="9"/>
  <c r="P240" i="9" s="1"/>
  <c r="N247" i="9" l="1"/>
  <c r="I247" i="9"/>
  <c r="H241" i="10"/>
  <c r="J240" i="10"/>
  <c r="N238" i="10"/>
  <c r="P237" i="10"/>
  <c r="G245" i="10"/>
  <c r="F252" i="10"/>
  <c r="H247" i="9"/>
  <c r="F247" i="9"/>
  <c r="E839" i="11"/>
  <c r="E248" i="9"/>
  <c r="G242" i="9"/>
  <c r="K241" i="9"/>
  <c r="P241" i="9" s="1"/>
  <c r="N248" i="9" l="1"/>
  <c r="H242" i="10"/>
  <c r="J241" i="10"/>
  <c r="N239" i="10"/>
  <c r="P238" i="10"/>
  <c r="G246" i="10"/>
  <c r="F253" i="10"/>
  <c r="F248" i="9"/>
  <c r="H248" i="9"/>
  <c r="E840" i="11"/>
  <c r="E249" i="9"/>
  <c r="I248" i="9"/>
  <c r="G243" i="9"/>
  <c r="K242" i="9"/>
  <c r="P242" i="9" s="1"/>
  <c r="N249" i="9" l="1"/>
  <c r="I249" i="9"/>
  <c r="H243" i="10"/>
  <c r="J242" i="10"/>
  <c r="N240" i="10"/>
  <c r="P239" i="10"/>
  <c r="G247" i="10"/>
  <c r="F254" i="10"/>
  <c r="E841" i="11"/>
  <c r="E250" i="9"/>
  <c r="H249" i="9"/>
  <c r="F249" i="9"/>
  <c r="G244" i="9"/>
  <c r="K243" i="9"/>
  <c r="P243" i="9" s="1"/>
  <c r="N250" i="9" l="1"/>
  <c r="I250" i="9"/>
  <c r="H244" i="10"/>
  <c r="J243" i="10"/>
  <c r="N241" i="10"/>
  <c r="P240" i="10"/>
  <c r="G248" i="10"/>
  <c r="F255" i="10"/>
  <c r="H250" i="9"/>
  <c r="F250" i="9"/>
  <c r="E842" i="11"/>
  <c r="E251" i="9"/>
  <c r="G245" i="9"/>
  <c r="K244" i="9"/>
  <c r="P244" i="9" s="1"/>
  <c r="N251" i="9" l="1"/>
  <c r="I251" i="9"/>
  <c r="H245" i="10"/>
  <c r="J244" i="10"/>
  <c r="N242" i="10"/>
  <c r="P241" i="10"/>
  <c r="G249" i="10"/>
  <c r="F256" i="10"/>
  <c r="H251" i="9"/>
  <c r="F251" i="9"/>
  <c r="E843" i="11"/>
  <c r="E252" i="9"/>
  <c r="G246" i="9"/>
  <c r="K245" i="9"/>
  <c r="P245" i="9" s="1"/>
  <c r="N252" i="9" l="1"/>
  <c r="N253" i="9" s="1"/>
  <c r="H246" i="10"/>
  <c r="J245" i="10"/>
  <c r="N243" i="10"/>
  <c r="P242" i="10"/>
  <c r="G250" i="10"/>
  <c r="F257" i="10"/>
  <c r="E844" i="11"/>
  <c r="E253" i="9"/>
  <c r="H252" i="9"/>
  <c r="F252" i="9"/>
  <c r="I252" i="9"/>
  <c r="I253" i="9" s="1"/>
  <c r="G247" i="9"/>
  <c r="K246" i="9"/>
  <c r="P246" i="9" s="1"/>
  <c r="F253" i="9" l="1"/>
  <c r="H253" i="9"/>
  <c r="H247" i="10"/>
  <c r="J246" i="10"/>
  <c r="N244" i="10"/>
  <c r="P243" i="10"/>
  <c r="G251" i="10"/>
  <c r="F258" i="10"/>
  <c r="E845" i="11"/>
  <c r="E254" i="9"/>
  <c r="I254" i="9" s="1"/>
  <c r="G248" i="9"/>
  <c r="K247" i="9"/>
  <c r="P247" i="9" s="1"/>
  <c r="N254" i="9" l="1"/>
  <c r="H248" i="10"/>
  <c r="J247" i="10"/>
  <c r="N245" i="10"/>
  <c r="P244" i="10"/>
  <c r="G252" i="10"/>
  <c r="F259" i="10"/>
  <c r="H254" i="9"/>
  <c r="F254" i="9"/>
  <c r="E846" i="11"/>
  <c r="E255" i="9"/>
  <c r="I255" i="9" s="1"/>
  <c r="G249" i="9"/>
  <c r="K248" i="9"/>
  <c r="P248" i="9" s="1"/>
  <c r="N255" i="9" l="1"/>
  <c r="H249" i="10"/>
  <c r="J248" i="10"/>
  <c r="N246" i="10"/>
  <c r="P245" i="10"/>
  <c r="G253" i="10"/>
  <c r="F260" i="10"/>
  <c r="E847" i="11"/>
  <c r="E256" i="9"/>
  <c r="I256" i="9" s="1"/>
  <c r="H255" i="9"/>
  <c r="F255" i="9"/>
  <c r="G250" i="9"/>
  <c r="K249" i="9"/>
  <c r="P249" i="9" s="1"/>
  <c r="N256" i="9" l="1"/>
  <c r="H250" i="10"/>
  <c r="J249" i="10"/>
  <c r="N247" i="10"/>
  <c r="P246" i="10"/>
  <c r="G254" i="10"/>
  <c r="F261" i="10"/>
  <c r="E848" i="11"/>
  <c r="E257" i="9"/>
  <c r="I257" i="9" s="1"/>
  <c r="H256" i="9"/>
  <c r="F256" i="9"/>
  <c r="G251" i="9"/>
  <c r="K250" i="9"/>
  <c r="P250" i="9" s="1"/>
  <c r="N257" i="9" l="1"/>
  <c r="H251" i="10"/>
  <c r="J250" i="10"/>
  <c r="N248" i="10"/>
  <c r="P247" i="10"/>
  <c r="G255" i="10"/>
  <c r="F262" i="10"/>
  <c r="F257" i="9"/>
  <c r="H257" i="9"/>
  <c r="E849" i="11"/>
  <c r="E258" i="9"/>
  <c r="G252" i="9"/>
  <c r="K251" i="9"/>
  <c r="P251" i="9" s="1"/>
  <c r="N258" i="9" l="1"/>
  <c r="H252" i="10"/>
  <c r="J251" i="10"/>
  <c r="N249" i="10"/>
  <c r="P248" i="10"/>
  <c r="G256" i="10"/>
  <c r="F263" i="10"/>
  <c r="F258" i="9"/>
  <c r="H258" i="9"/>
  <c r="E850" i="11"/>
  <c r="E259" i="9"/>
  <c r="I258" i="9"/>
  <c r="I259" i="9" s="1"/>
  <c r="G253" i="9"/>
  <c r="K252" i="9"/>
  <c r="P252" i="9" s="1"/>
  <c r="N259" i="9" l="1"/>
  <c r="H253" i="10"/>
  <c r="J252" i="10"/>
  <c r="N250" i="10"/>
  <c r="P249" i="10"/>
  <c r="G257" i="10"/>
  <c r="F264" i="10"/>
  <c r="H259" i="9"/>
  <c r="F259" i="9"/>
  <c r="E851" i="11"/>
  <c r="E260" i="9"/>
  <c r="G254" i="9"/>
  <c r="K253" i="9"/>
  <c r="P253" i="9" s="1"/>
  <c r="N260" i="9" l="1"/>
  <c r="H254" i="10"/>
  <c r="J253" i="10"/>
  <c r="N251" i="10"/>
  <c r="P250" i="10"/>
  <c r="G258" i="10"/>
  <c r="F265" i="10"/>
  <c r="H260" i="9"/>
  <c r="F260" i="9"/>
  <c r="I260" i="9"/>
  <c r="E852" i="11"/>
  <c r="E261" i="9"/>
  <c r="G255" i="9"/>
  <c r="K254" i="9"/>
  <c r="P254" i="9" s="1"/>
  <c r="N261" i="9" l="1"/>
  <c r="I261" i="9"/>
  <c r="F261" i="9"/>
  <c r="H255" i="10"/>
  <c r="J254" i="10"/>
  <c r="N252" i="10"/>
  <c r="P251" i="10"/>
  <c r="G259" i="10"/>
  <c r="F266" i="10"/>
  <c r="H261" i="9"/>
  <c r="E853" i="11"/>
  <c r="E262" i="9"/>
  <c r="G256" i="9"/>
  <c r="K255" i="9"/>
  <c r="P255" i="9" s="1"/>
  <c r="I262" i="9" l="1"/>
  <c r="N262" i="9"/>
  <c r="H256" i="10"/>
  <c r="J255" i="10"/>
  <c r="N253" i="10"/>
  <c r="P252" i="10"/>
  <c r="G260" i="10"/>
  <c r="F267" i="10"/>
  <c r="F262" i="9"/>
  <c r="H262" i="9"/>
  <c r="E854" i="11"/>
  <c r="E263" i="9"/>
  <c r="G257" i="9"/>
  <c r="K256" i="9"/>
  <c r="P256" i="9" s="1"/>
  <c r="I263" i="9" l="1"/>
  <c r="I264" i="9" s="1"/>
  <c r="N263" i="9"/>
  <c r="N264" i="9" s="1"/>
  <c r="H263" i="9"/>
  <c r="H257" i="10"/>
  <c r="J256" i="10"/>
  <c r="N254" i="10"/>
  <c r="P253" i="10"/>
  <c r="G261" i="10"/>
  <c r="F268" i="10"/>
  <c r="E855" i="11"/>
  <c r="E264" i="9"/>
  <c r="F263" i="9"/>
  <c r="G258" i="9"/>
  <c r="K257" i="9"/>
  <c r="P257" i="9" s="1"/>
  <c r="H258" i="10" l="1"/>
  <c r="J257" i="10"/>
  <c r="N255" i="10"/>
  <c r="P254" i="10"/>
  <c r="G262" i="10"/>
  <c r="F269" i="10"/>
  <c r="F264" i="9"/>
  <c r="H264" i="9"/>
  <c r="E856" i="11"/>
  <c r="E265" i="9"/>
  <c r="N265" i="9" s="1"/>
  <c r="G259" i="9"/>
  <c r="K258" i="9"/>
  <c r="P258" i="9" s="1"/>
  <c r="H259" i="10" l="1"/>
  <c r="J258" i="10"/>
  <c r="N256" i="10"/>
  <c r="P255" i="10"/>
  <c r="G263" i="10"/>
  <c r="F270" i="10"/>
  <c r="H265" i="9"/>
  <c r="F265" i="9"/>
  <c r="E857" i="11"/>
  <c r="E266" i="9"/>
  <c r="N266" i="9" s="1"/>
  <c r="I265" i="9"/>
  <c r="G260" i="9"/>
  <c r="K259" i="9"/>
  <c r="P259" i="9" s="1"/>
  <c r="I266" i="9" l="1"/>
  <c r="H260" i="10"/>
  <c r="J259" i="10"/>
  <c r="N257" i="10"/>
  <c r="P256" i="10"/>
  <c r="G264" i="10"/>
  <c r="F271" i="10"/>
  <c r="H266" i="9"/>
  <c r="F266" i="9"/>
  <c r="E858" i="11"/>
  <c r="E267" i="9"/>
  <c r="N267" i="9" s="1"/>
  <c r="G261" i="9"/>
  <c r="K260" i="9"/>
  <c r="P260" i="9" s="1"/>
  <c r="H261" i="10" l="1"/>
  <c r="J260" i="10"/>
  <c r="N258" i="10"/>
  <c r="P257" i="10"/>
  <c r="G265" i="10"/>
  <c r="F272" i="10"/>
  <c r="F267" i="9"/>
  <c r="I267" i="9"/>
  <c r="H267" i="9"/>
  <c r="E859" i="11"/>
  <c r="E268" i="9"/>
  <c r="N268" i="9" s="1"/>
  <c r="G262" i="9"/>
  <c r="K261" i="9"/>
  <c r="P261" i="9" s="1"/>
  <c r="I268" i="9" l="1"/>
  <c r="H262" i="10"/>
  <c r="J261" i="10"/>
  <c r="N259" i="10"/>
  <c r="P258" i="10"/>
  <c r="G266" i="10"/>
  <c r="F273" i="10"/>
  <c r="E860" i="11"/>
  <c r="E269" i="9"/>
  <c r="N269" i="9" s="1"/>
  <c r="H268" i="9"/>
  <c r="F268" i="9"/>
  <c r="G263" i="9"/>
  <c r="K262" i="9"/>
  <c r="P262" i="9" s="1"/>
  <c r="I269" i="9" l="1"/>
  <c r="H263" i="10"/>
  <c r="J262" i="10"/>
  <c r="N260" i="10"/>
  <c r="P259" i="10"/>
  <c r="G267" i="10"/>
  <c r="F274" i="10"/>
  <c r="H269" i="9"/>
  <c r="F269" i="9"/>
  <c r="E861" i="11"/>
  <c r="E270" i="9"/>
  <c r="N270" i="9" s="1"/>
  <c r="G264" i="9"/>
  <c r="K263" i="9"/>
  <c r="P263" i="9" s="1"/>
  <c r="H264" i="10" l="1"/>
  <c r="J263" i="10"/>
  <c r="N261" i="10"/>
  <c r="P260" i="10"/>
  <c r="G268" i="10"/>
  <c r="F275" i="10"/>
  <c r="H270" i="9"/>
  <c r="F270" i="9"/>
  <c r="E862" i="11"/>
  <c r="E271" i="9"/>
  <c r="N271" i="9" s="1"/>
  <c r="I270" i="9"/>
  <c r="G265" i="9"/>
  <c r="K264" i="9"/>
  <c r="P264" i="9" s="1"/>
  <c r="I271" i="9" l="1"/>
  <c r="H265" i="10"/>
  <c r="J264" i="10"/>
  <c r="N262" i="10"/>
  <c r="P261" i="10"/>
  <c r="G269" i="10"/>
  <c r="F276" i="10"/>
  <c r="E863" i="11"/>
  <c r="E272" i="9"/>
  <c r="F271" i="9"/>
  <c r="H271" i="9"/>
  <c r="N272" i="9"/>
  <c r="G266" i="9"/>
  <c r="K265" i="9"/>
  <c r="P265" i="9" s="1"/>
  <c r="I272" i="9" l="1"/>
  <c r="H266" i="10"/>
  <c r="J265" i="10"/>
  <c r="N263" i="10"/>
  <c r="P262" i="10"/>
  <c r="G270" i="10"/>
  <c r="F277" i="10"/>
  <c r="F272" i="9"/>
  <c r="H272" i="9"/>
  <c r="E864" i="11"/>
  <c r="E273" i="9"/>
  <c r="N273" i="9" s="1"/>
  <c r="G267" i="9"/>
  <c r="K266" i="9"/>
  <c r="P266" i="9" s="1"/>
  <c r="I273" i="9" l="1"/>
  <c r="H267" i="10"/>
  <c r="J266" i="10"/>
  <c r="N264" i="10"/>
  <c r="P263" i="10"/>
  <c r="G271" i="10"/>
  <c r="F278" i="10"/>
  <c r="F273" i="9"/>
  <c r="H273" i="9"/>
  <c r="E865" i="11"/>
  <c r="E274" i="9"/>
  <c r="N274" i="9" s="1"/>
  <c r="G268" i="9"/>
  <c r="K267" i="9"/>
  <c r="P267" i="9" s="1"/>
  <c r="H268" i="10" l="1"/>
  <c r="J267" i="10"/>
  <c r="N265" i="10"/>
  <c r="P264" i="10"/>
  <c r="G272" i="10"/>
  <c r="F279" i="10"/>
  <c r="H274" i="9"/>
  <c r="F274" i="9"/>
  <c r="I274" i="9"/>
  <c r="I275" i="9" s="1"/>
  <c r="E866" i="11"/>
  <c r="E275" i="9"/>
  <c r="N275" i="9" s="1"/>
  <c r="G269" i="9"/>
  <c r="K268" i="9"/>
  <c r="P268" i="9" s="1"/>
  <c r="H269" i="10" l="1"/>
  <c r="J268" i="10"/>
  <c r="N266" i="10"/>
  <c r="P265" i="10"/>
  <c r="H275" i="9"/>
  <c r="G273" i="10"/>
  <c r="F280" i="10"/>
  <c r="E867" i="11"/>
  <c r="E276" i="9"/>
  <c r="N276" i="9" s="1"/>
  <c r="F275" i="9"/>
  <c r="G270" i="9"/>
  <c r="K269" i="9"/>
  <c r="P269" i="9" s="1"/>
  <c r="I276" i="9" l="1"/>
  <c r="H270" i="10"/>
  <c r="J269" i="10"/>
  <c r="N267" i="10"/>
  <c r="P266" i="10"/>
  <c r="G274" i="10"/>
  <c r="F281" i="10"/>
  <c r="H276" i="9"/>
  <c r="F276" i="9"/>
  <c r="E868" i="11"/>
  <c r="E277" i="9"/>
  <c r="N277" i="9" s="1"/>
  <c r="G271" i="9"/>
  <c r="K270" i="9"/>
  <c r="P270" i="9" s="1"/>
  <c r="H271" i="10" l="1"/>
  <c r="J270" i="10"/>
  <c r="N268" i="10"/>
  <c r="P267" i="10"/>
  <c r="G275" i="10"/>
  <c r="F282" i="10"/>
  <c r="H277" i="9"/>
  <c r="F277" i="9"/>
  <c r="E869" i="11"/>
  <c r="E278" i="9"/>
  <c r="I277" i="9"/>
  <c r="N278" i="9"/>
  <c r="G272" i="9"/>
  <c r="K271" i="9"/>
  <c r="P271" i="9" s="1"/>
  <c r="H272" i="10" l="1"/>
  <c r="J271" i="10"/>
  <c r="N269" i="10"/>
  <c r="P268" i="10"/>
  <c r="G276" i="10"/>
  <c r="F283" i="10"/>
  <c r="I278" i="9"/>
  <c r="F278" i="9"/>
  <c r="E870" i="11"/>
  <c r="E279" i="9"/>
  <c r="H278" i="9"/>
  <c r="N279" i="9"/>
  <c r="G273" i="9"/>
  <c r="K272" i="9"/>
  <c r="P272" i="9" s="1"/>
  <c r="H273" i="10" l="1"/>
  <c r="J272" i="10"/>
  <c r="N270" i="10"/>
  <c r="P269" i="10"/>
  <c r="G277" i="10"/>
  <c r="F284" i="10"/>
  <c r="H279" i="9"/>
  <c r="F279" i="9"/>
  <c r="I279" i="9"/>
  <c r="I280" i="9" s="1"/>
  <c r="E871" i="11"/>
  <c r="E280" i="9"/>
  <c r="N280" i="9" s="1"/>
  <c r="G274" i="9"/>
  <c r="K273" i="9"/>
  <c r="P273" i="9" s="1"/>
  <c r="F280" i="9" l="1"/>
  <c r="H274" i="10"/>
  <c r="J273" i="10"/>
  <c r="N271" i="10"/>
  <c r="P270" i="10"/>
  <c r="G278" i="10"/>
  <c r="F285" i="10"/>
  <c r="E872" i="11"/>
  <c r="E281" i="9"/>
  <c r="N281" i="9" s="1"/>
  <c r="H280" i="9"/>
  <c r="H281" i="9" s="1"/>
  <c r="I281" i="9"/>
  <c r="G275" i="9"/>
  <c r="K274" i="9"/>
  <c r="P274" i="9" s="1"/>
  <c r="H275" i="10" l="1"/>
  <c r="J274" i="10"/>
  <c r="N272" i="10"/>
  <c r="P271" i="10"/>
  <c r="G279" i="10"/>
  <c r="F286" i="10"/>
  <c r="F281" i="9"/>
  <c r="E873" i="11"/>
  <c r="E282" i="9"/>
  <c r="N282" i="9" s="1"/>
  <c r="G276" i="9"/>
  <c r="K275" i="9"/>
  <c r="P275" i="9" s="1"/>
  <c r="H276" i="10" l="1"/>
  <c r="J275" i="10"/>
  <c r="N273" i="10"/>
  <c r="P272" i="10"/>
  <c r="G280" i="10"/>
  <c r="F287" i="10"/>
  <c r="H282" i="9"/>
  <c r="F282" i="9"/>
  <c r="E874" i="11"/>
  <c r="E283" i="9"/>
  <c r="N283" i="9" s="1"/>
  <c r="I282" i="9"/>
  <c r="G277" i="9"/>
  <c r="K276" i="9"/>
  <c r="P276" i="9" s="1"/>
  <c r="I283" i="9" l="1"/>
  <c r="F283" i="9"/>
  <c r="H277" i="10"/>
  <c r="J276" i="10"/>
  <c r="N274" i="10"/>
  <c r="P273" i="10"/>
  <c r="G281" i="10"/>
  <c r="F288" i="10"/>
  <c r="H283" i="9"/>
  <c r="E875" i="11"/>
  <c r="E284" i="9"/>
  <c r="N284" i="9" s="1"/>
  <c r="G278" i="9"/>
  <c r="K277" i="9"/>
  <c r="P277" i="9" s="1"/>
  <c r="H278" i="10" l="1"/>
  <c r="J277" i="10"/>
  <c r="N275" i="10"/>
  <c r="P274" i="10"/>
  <c r="G282" i="10"/>
  <c r="F289" i="10"/>
  <c r="E876" i="11"/>
  <c r="E285" i="9"/>
  <c r="H284" i="9"/>
  <c r="F284" i="9"/>
  <c r="I284" i="9"/>
  <c r="N285" i="9"/>
  <c r="G279" i="9"/>
  <c r="K278" i="9"/>
  <c r="P278" i="9" s="1"/>
  <c r="I285" i="9" l="1"/>
  <c r="H279" i="10"/>
  <c r="J278" i="10"/>
  <c r="N276" i="10"/>
  <c r="P275" i="10"/>
  <c r="G283" i="10"/>
  <c r="F290" i="10"/>
  <c r="H285" i="9"/>
  <c r="F285" i="9"/>
  <c r="E877" i="11"/>
  <c r="E286" i="9"/>
  <c r="N286" i="9" s="1"/>
  <c r="G280" i="9"/>
  <c r="K279" i="9"/>
  <c r="P279" i="9" s="1"/>
  <c r="H280" i="10" l="1"/>
  <c r="J279" i="10"/>
  <c r="N277" i="10"/>
  <c r="P276" i="10"/>
  <c r="G284" i="10"/>
  <c r="F291" i="10"/>
  <c r="H286" i="9"/>
  <c r="F286" i="9"/>
  <c r="E878" i="11"/>
  <c r="E287" i="9"/>
  <c r="N287" i="9" s="1"/>
  <c r="I286" i="9"/>
  <c r="G281" i="9"/>
  <c r="K280" i="9"/>
  <c r="P280" i="9" s="1"/>
  <c r="I287" i="9" l="1"/>
  <c r="F287" i="9"/>
  <c r="H281" i="10"/>
  <c r="J280" i="10"/>
  <c r="N278" i="10"/>
  <c r="P277" i="10"/>
  <c r="G285" i="10"/>
  <c r="F292" i="10"/>
  <c r="H287" i="9"/>
  <c r="E879" i="11"/>
  <c r="E288" i="9"/>
  <c r="N288" i="9" s="1"/>
  <c r="G282" i="9"/>
  <c r="K281" i="9"/>
  <c r="P281" i="9" s="1"/>
  <c r="I288" i="9" l="1"/>
  <c r="H282" i="10"/>
  <c r="J281" i="10"/>
  <c r="N279" i="10"/>
  <c r="P278" i="10"/>
  <c r="G286" i="10"/>
  <c r="F293" i="10"/>
  <c r="E880" i="11"/>
  <c r="E289" i="9"/>
  <c r="N289" i="9"/>
  <c r="H288" i="9"/>
  <c r="F288" i="9"/>
  <c r="G283" i="9"/>
  <c r="K282" i="9"/>
  <c r="P282" i="9" s="1"/>
  <c r="I289" i="9" l="1"/>
  <c r="H283" i="10"/>
  <c r="J282" i="10"/>
  <c r="N280" i="10"/>
  <c r="P279" i="10"/>
  <c r="G287" i="10"/>
  <c r="F294" i="10"/>
  <c r="H289" i="9"/>
  <c r="F289" i="9"/>
  <c r="E881" i="11"/>
  <c r="E290" i="9"/>
  <c r="G284" i="9"/>
  <c r="K283" i="9"/>
  <c r="P283" i="9" s="1"/>
  <c r="I290" i="9" l="1"/>
  <c r="N290" i="9"/>
  <c r="N291" i="9" s="1"/>
  <c r="H284" i="10"/>
  <c r="J283" i="10"/>
  <c r="N281" i="10"/>
  <c r="P280" i="10"/>
  <c r="G288" i="10"/>
  <c r="F295" i="10"/>
  <c r="F290" i="9"/>
  <c r="H290" i="9"/>
  <c r="H291" i="9" s="1"/>
  <c r="E882" i="11"/>
  <c r="E291" i="9"/>
  <c r="G285" i="9"/>
  <c r="K284" i="9"/>
  <c r="P284" i="9" s="1"/>
  <c r="H285" i="10" l="1"/>
  <c r="J284" i="10"/>
  <c r="N282" i="10"/>
  <c r="P281" i="10"/>
  <c r="G289" i="10"/>
  <c r="F296" i="10"/>
  <c r="F291" i="9"/>
  <c r="E883" i="11"/>
  <c r="E292" i="9"/>
  <c r="H292" i="9" s="1"/>
  <c r="I291" i="9"/>
  <c r="G286" i="9"/>
  <c r="K285" i="9"/>
  <c r="P285" i="9" s="1"/>
  <c r="N292" i="9" l="1"/>
  <c r="N293" i="9" s="1"/>
  <c r="I292" i="9"/>
  <c r="H286" i="10"/>
  <c r="J285" i="10"/>
  <c r="N283" i="10"/>
  <c r="P282" i="10"/>
  <c r="G290" i="10"/>
  <c r="F297" i="10"/>
  <c r="E884" i="11"/>
  <c r="E293" i="9"/>
  <c r="F292" i="9"/>
  <c r="G287" i="9"/>
  <c r="K286" i="9"/>
  <c r="P286" i="9" s="1"/>
  <c r="I293" i="9" l="1"/>
  <c r="H287" i="10"/>
  <c r="J286" i="10"/>
  <c r="N284" i="10"/>
  <c r="P283" i="10"/>
  <c r="G291" i="10"/>
  <c r="F298" i="10"/>
  <c r="H293" i="9"/>
  <c r="F293" i="9"/>
  <c r="E885" i="11"/>
  <c r="E294" i="9"/>
  <c r="N294" i="9" s="1"/>
  <c r="G288" i="9"/>
  <c r="K287" i="9"/>
  <c r="P287" i="9" s="1"/>
  <c r="H288" i="10" l="1"/>
  <c r="J287" i="10"/>
  <c r="N285" i="10"/>
  <c r="P284" i="10"/>
  <c r="G292" i="10"/>
  <c r="F299" i="10"/>
  <c r="E886" i="11"/>
  <c r="E295" i="9"/>
  <c r="I294" i="9"/>
  <c r="H294" i="9"/>
  <c r="F294" i="9"/>
  <c r="F295" i="9" s="1"/>
  <c r="N295" i="9"/>
  <c r="G289" i="9"/>
  <c r="K288" i="9"/>
  <c r="P288" i="9" s="1"/>
  <c r="I295" i="9" l="1"/>
  <c r="H289" i="10"/>
  <c r="J288" i="10"/>
  <c r="N286" i="10"/>
  <c r="P285" i="10"/>
  <c r="G293" i="10"/>
  <c r="F300" i="10"/>
  <c r="H295" i="9"/>
  <c r="E887" i="11"/>
  <c r="E296" i="9"/>
  <c r="N296" i="9" s="1"/>
  <c r="G290" i="9"/>
  <c r="K289" i="9"/>
  <c r="P289" i="9" s="1"/>
  <c r="I296" i="9" l="1"/>
  <c r="H290" i="10"/>
  <c r="J289" i="10"/>
  <c r="N287" i="10"/>
  <c r="P286" i="10"/>
  <c r="G294" i="10"/>
  <c r="F301" i="10"/>
  <c r="H296" i="9"/>
  <c r="F296" i="9"/>
  <c r="E888" i="11"/>
  <c r="E297" i="9"/>
  <c r="G291" i="9"/>
  <c r="K290" i="9"/>
  <c r="P290" i="9" s="1"/>
  <c r="I297" i="9" l="1"/>
  <c r="N297" i="9"/>
  <c r="H291" i="10"/>
  <c r="J290" i="10"/>
  <c r="N288" i="10"/>
  <c r="P287" i="10"/>
  <c r="G295" i="10"/>
  <c r="F302" i="10"/>
  <c r="H297" i="9"/>
  <c r="F297" i="9"/>
  <c r="E889" i="11"/>
  <c r="E298" i="9"/>
  <c r="G292" i="9"/>
  <c r="K291" i="9"/>
  <c r="P291" i="9" s="1"/>
  <c r="N298" i="9" l="1"/>
  <c r="H292" i="10"/>
  <c r="J291" i="10"/>
  <c r="N289" i="10"/>
  <c r="P288" i="10"/>
  <c r="G296" i="10"/>
  <c r="F303" i="10"/>
  <c r="F298" i="9"/>
  <c r="I298" i="9"/>
  <c r="E890" i="11"/>
  <c r="E299" i="9"/>
  <c r="H298" i="9"/>
  <c r="G293" i="9"/>
  <c r="K292" i="9"/>
  <c r="P292" i="9" s="1"/>
  <c r="N299" i="9" l="1"/>
  <c r="I299" i="9"/>
  <c r="H293" i="10"/>
  <c r="J292" i="10"/>
  <c r="N290" i="10"/>
  <c r="P289" i="10"/>
  <c r="G297" i="10"/>
  <c r="F304" i="10"/>
  <c r="F299" i="9"/>
  <c r="E891" i="11"/>
  <c r="E300" i="9"/>
  <c r="H299" i="9"/>
  <c r="G294" i="9"/>
  <c r="K293" i="9"/>
  <c r="P293" i="9" s="1"/>
  <c r="N300" i="9" l="1"/>
  <c r="H294" i="10"/>
  <c r="J293" i="10"/>
  <c r="N291" i="10"/>
  <c r="P290" i="10"/>
  <c r="G298" i="10"/>
  <c r="F305" i="10"/>
  <c r="H300" i="9"/>
  <c r="F300" i="9"/>
  <c r="E892" i="11"/>
  <c r="E301" i="9"/>
  <c r="I300" i="9"/>
  <c r="I301" i="9" s="1"/>
  <c r="G295" i="9"/>
  <c r="K294" i="9"/>
  <c r="P294" i="9" s="1"/>
  <c r="N301" i="9" l="1"/>
  <c r="H295" i="10"/>
  <c r="J294" i="10"/>
  <c r="N292" i="10"/>
  <c r="P291" i="10"/>
  <c r="G299" i="10"/>
  <c r="F306" i="10"/>
  <c r="F301" i="9"/>
  <c r="E893" i="11"/>
  <c r="E302" i="9"/>
  <c r="H301" i="9"/>
  <c r="G296" i="9"/>
  <c r="K295" i="9"/>
  <c r="P295" i="9" s="1"/>
  <c r="N302" i="9" l="1"/>
  <c r="H296" i="10"/>
  <c r="J295" i="10"/>
  <c r="N293" i="10"/>
  <c r="P292" i="10"/>
  <c r="G300" i="10"/>
  <c r="F307" i="10"/>
  <c r="F302" i="9"/>
  <c r="H302" i="9"/>
  <c r="I302" i="9"/>
  <c r="I303" i="9" s="1"/>
  <c r="E894" i="11"/>
  <c r="E303" i="9"/>
  <c r="G297" i="9"/>
  <c r="K296" i="9"/>
  <c r="P296" i="9" s="1"/>
  <c r="N303" i="9" l="1"/>
  <c r="F303" i="9"/>
  <c r="H297" i="10"/>
  <c r="J296" i="10"/>
  <c r="N294" i="10"/>
  <c r="P293" i="10"/>
  <c r="G301" i="10"/>
  <c r="F308" i="10"/>
  <c r="H303" i="9"/>
  <c r="E895" i="11"/>
  <c r="E304" i="9"/>
  <c r="I304" i="9" s="1"/>
  <c r="G298" i="9"/>
  <c r="K297" i="9"/>
  <c r="P297" i="9" s="1"/>
  <c r="N304" i="9" l="1"/>
  <c r="H304" i="9"/>
  <c r="F304" i="9"/>
  <c r="H298" i="10"/>
  <c r="J297" i="10"/>
  <c r="N295" i="10"/>
  <c r="P294" i="10"/>
  <c r="G302" i="10"/>
  <c r="F309" i="10"/>
  <c r="E896" i="11"/>
  <c r="E305" i="9"/>
  <c r="I305" i="9" s="1"/>
  <c r="G299" i="9"/>
  <c r="K298" i="9"/>
  <c r="P298" i="9" s="1"/>
  <c r="N305" i="9" l="1"/>
  <c r="N306" i="9" s="1"/>
  <c r="H299" i="10"/>
  <c r="J298" i="10"/>
  <c r="N296" i="10"/>
  <c r="P295" i="10"/>
  <c r="G303" i="10"/>
  <c r="F310" i="10"/>
  <c r="H305" i="9"/>
  <c r="F305" i="9"/>
  <c r="E897" i="11"/>
  <c r="E306" i="9"/>
  <c r="G300" i="9"/>
  <c r="K299" i="9"/>
  <c r="P299" i="9" s="1"/>
  <c r="H300" i="10" l="1"/>
  <c r="J299" i="10"/>
  <c r="N297" i="10"/>
  <c r="P296" i="10"/>
  <c r="G304" i="10"/>
  <c r="F311" i="10"/>
  <c r="F306" i="9"/>
  <c r="H306" i="9"/>
  <c r="E898" i="11"/>
  <c r="E307" i="9"/>
  <c r="N307" i="9" s="1"/>
  <c r="I306" i="9"/>
  <c r="G301" i="9"/>
  <c r="K300" i="9"/>
  <c r="P300" i="9" s="1"/>
  <c r="I307" i="9" l="1"/>
  <c r="H301" i="10"/>
  <c r="J300" i="10"/>
  <c r="N298" i="10"/>
  <c r="P297" i="10"/>
  <c r="G305" i="10"/>
  <c r="H307" i="9"/>
  <c r="F312" i="10"/>
  <c r="E899" i="11"/>
  <c r="E308" i="9"/>
  <c r="N308" i="9" s="1"/>
  <c r="F307" i="9"/>
  <c r="G302" i="9"/>
  <c r="K301" i="9"/>
  <c r="P301" i="9" s="1"/>
  <c r="I308" i="9" l="1"/>
  <c r="I309" i="9" s="1"/>
  <c r="H302" i="10"/>
  <c r="J301" i="10"/>
  <c r="N299" i="10"/>
  <c r="P298" i="10"/>
  <c r="G306" i="10"/>
  <c r="F313" i="10"/>
  <c r="H308" i="9"/>
  <c r="F308" i="9"/>
  <c r="E900" i="11"/>
  <c r="E309" i="9"/>
  <c r="N309" i="9" s="1"/>
  <c r="G303" i="9"/>
  <c r="K302" i="9"/>
  <c r="P302" i="9" s="1"/>
  <c r="H303" i="10" l="1"/>
  <c r="J302" i="10"/>
  <c r="N300" i="10"/>
  <c r="P299" i="10"/>
  <c r="G307" i="10"/>
  <c r="F314" i="10"/>
  <c r="H309" i="9"/>
  <c r="F309" i="9"/>
  <c r="E901" i="11"/>
  <c r="E310" i="9"/>
  <c r="N310" i="9"/>
  <c r="G304" i="9"/>
  <c r="K303" i="9"/>
  <c r="P303" i="9" s="1"/>
  <c r="H304" i="10" l="1"/>
  <c r="J303" i="10"/>
  <c r="N301" i="10"/>
  <c r="P300" i="10"/>
  <c r="G308" i="10"/>
  <c r="F315" i="10"/>
  <c r="H310" i="9"/>
  <c r="F310" i="9"/>
  <c r="I310" i="9"/>
  <c r="E902" i="11"/>
  <c r="E311" i="9"/>
  <c r="N311" i="9" s="1"/>
  <c r="G305" i="9"/>
  <c r="K304" i="9"/>
  <c r="P304" i="9" s="1"/>
  <c r="I311" i="9" l="1"/>
  <c r="H305" i="10"/>
  <c r="J304" i="10"/>
  <c r="N302" i="10"/>
  <c r="P301" i="10"/>
  <c r="G309" i="10"/>
  <c r="F316" i="10"/>
  <c r="H311" i="9"/>
  <c r="F311" i="9"/>
  <c r="E903" i="11"/>
  <c r="E312" i="9"/>
  <c r="N312" i="9" s="1"/>
  <c r="G306" i="9"/>
  <c r="K305" i="9"/>
  <c r="P305" i="9" s="1"/>
  <c r="H306" i="10" l="1"/>
  <c r="J305" i="10"/>
  <c r="N303" i="10"/>
  <c r="P302" i="10"/>
  <c r="G310" i="10"/>
  <c r="F317" i="10"/>
  <c r="H312" i="9"/>
  <c r="F312" i="9"/>
  <c r="E904" i="11"/>
  <c r="E313" i="9"/>
  <c r="N313" i="9" s="1"/>
  <c r="I312" i="9"/>
  <c r="G307" i="9"/>
  <c r="K306" i="9"/>
  <c r="P306" i="9" s="1"/>
  <c r="I313" i="9" l="1"/>
  <c r="F313" i="9"/>
  <c r="H307" i="10"/>
  <c r="J306" i="10"/>
  <c r="N304" i="10"/>
  <c r="P303" i="10"/>
  <c r="G311" i="10"/>
  <c r="F318" i="10"/>
  <c r="E905" i="11"/>
  <c r="E314" i="9"/>
  <c r="H313" i="9"/>
  <c r="N314" i="9"/>
  <c r="G308" i="9"/>
  <c r="K307" i="9"/>
  <c r="P307" i="9" s="1"/>
  <c r="I314" i="9" l="1"/>
  <c r="H308" i="10"/>
  <c r="J307" i="10"/>
  <c r="N305" i="10"/>
  <c r="P304" i="10"/>
  <c r="G312" i="10"/>
  <c r="F319" i="10"/>
  <c r="E906" i="11"/>
  <c r="E315" i="9"/>
  <c r="N315" i="9"/>
  <c r="H314" i="9"/>
  <c r="F314" i="9"/>
  <c r="G309" i="9"/>
  <c r="K308" i="9"/>
  <c r="P308" i="9" s="1"/>
  <c r="I315" i="9" l="1"/>
  <c r="H309" i="10"/>
  <c r="J308" i="10"/>
  <c r="N306" i="10"/>
  <c r="P305" i="10"/>
  <c r="G313" i="10"/>
  <c r="F320" i="10"/>
  <c r="H315" i="9"/>
  <c r="F315" i="9"/>
  <c r="E907" i="11"/>
  <c r="E316" i="9"/>
  <c r="N316" i="9" s="1"/>
  <c r="G310" i="9"/>
  <c r="K309" i="9"/>
  <c r="P309" i="9" s="1"/>
  <c r="H316" i="9" l="1"/>
  <c r="H310" i="10"/>
  <c r="J309" i="10"/>
  <c r="N307" i="10"/>
  <c r="P306" i="10"/>
  <c r="G314" i="10"/>
  <c r="F321" i="10"/>
  <c r="F316" i="9"/>
  <c r="E908" i="11"/>
  <c r="E317" i="9"/>
  <c r="N317" i="9" s="1"/>
  <c r="I316" i="9"/>
  <c r="G311" i="9"/>
  <c r="K310" i="9"/>
  <c r="P310" i="9" s="1"/>
  <c r="F317" i="9" l="1"/>
  <c r="H311" i="10"/>
  <c r="J310" i="10"/>
  <c r="N308" i="10"/>
  <c r="P307" i="10"/>
  <c r="G315" i="10"/>
  <c r="E909" i="11"/>
  <c r="E318" i="9"/>
  <c r="H317" i="9"/>
  <c r="I317" i="9"/>
  <c r="N318" i="9"/>
  <c r="G312" i="9"/>
  <c r="K311" i="9"/>
  <c r="P311" i="9" s="1"/>
  <c r="I318" i="9" l="1"/>
  <c r="H318" i="9"/>
  <c r="F318" i="9"/>
  <c r="H312" i="10"/>
  <c r="J311" i="10"/>
  <c r="N309" i="10"/>
  <c r="P308" i="10"/>
  <c r="G316" i="10"/>
  <c r="N319" i="9"/>
  <c r="E910" i="11"/>
  <c r="E319" i="9"/>
  <c r="G313" i="9"/>
  <c r="K312" i="9"/>
  <c r="P312" i="9" s="1"/>
  <c r="I319" i="9" l="1"/>
  <c r="H313" i="10"/>
  <c r="J312" i="10"/>
  <c r="N310" i="10"/>
  <c r="P309" i="10"/>
  <c r="G317" i="10"/>
  <c r="H319" i="9"/>
  <c r="F319" i="9"/>
  <c r="E911" i="11"/>
  <c r="E321" i="9" s="1"/>
  <c r="E320" i="9"/>
  <c r="N320" i="9" s="1"/>
  <c r="G314" i="9"/>
  <c r="K313" i="9"/>
  <c r="P313" i="9" s="1"/>
  <c r="N321" i="9" l="1"/>
  <c r="H314" i="10"/>
  <c r="J313" i="10"/>
  <c r="N311" i="10"/>
  <c r="P310" i="10"/>
  <c r="G318" i="10"/>
  <c r="H320" i="9"/>
  <c r="H321" i="9" s="1"/>
  <c r="F320" i="9"/>
  <c r="F321" i="9" s="1"/>
  <c r="I320" i="9"/>
  <c r="I321" i="9" s="1"/>
  <c r="G315" i="9"/>
  <c r="K314" i="9"/>
  <c r="P314" i="9" s="1"/>
  <c r="H315" i="10" l="1"/>
  <c r="J314" i="10"/>
  <c r="N312" i="10"/>
  <c r="P311" i="10"/>
  <c r="G319" i="10"/>
  <c r="G316" i="9"/>
  <c r="K315" i="9"/>
  <c r="P315" i="9" s="1"/>
  <c r="H316" i="10" l="1"/>
  <c r="J315" i="10"/>
  <c r="N313" i="10"/>
  <c r="P312" i="10"/>
  <c r="G320" i="10"/>
  <c r="G317" i="9"/>
  <c r="K316" i="9"/>
  <c r="P316" i="9" s="1"/>
  <c r="H317" i="10" l="1"/>
  <c r="J316" i="10"/>
  <c r="N314" i="10"/>
  <c r="P313" i="10"/>
  <c r="G321" i="10"/>
  <c r="G318" i="9"/>
  <c r="K317" i="9"/>
  <c r="P317" i="9" s="1"/>
  <c r="H318" i="10" l="1"/>
  <c r="J317" i="10"/>
  <c r="N315" i="10"/>
  <c r="P314" i="10"/>
  <c r="G319" i="9"/>
  <c r="K318" i="9"/>
  <c r="P318" i="9" s="1"/>
  <c r="H319" i="10" l="1"/>
  <c r="J318" i="10"/>
  <c r="N316" i="10"/>
  <c r="P315" i="10"/>
  <c r="G320" i="9"/>
  <c r="K319" i="9"/>
  <c r="P319" i="9" s="1"/>
  <c r="H320" i="10" l="1"/>
  <c r="J319" i="10"/>
  <c r="N317" i="10"/>
  <c r="P316" i="10"/>
  <c r="G321" i="9"/>
  <c r="K321" i="9" s="1"/>
  <c r="P321" i="9" s="1"/>
  <c r="K320" i="9"/>
  <c r="P320" i="9" s="1"/>
  <c r="H321" i="10" l="1"/>
  <c r="J321" i="10" s="1"/>
  <c r="J320" i="10"/>
  <c r="N318" i="10"/>
  <c r="P317" i="10"/>
  <c r="N319" i="10" l="1"/>
  <c r="P318" i="10"/>
  <c r="N320" i="10" l="1"/>
  <c r="P319" i="10"/>
  <c r="N321" i="10" l="1"/>
  <c r="P321" i="10" s="1"/>
  <c r="P320" i="10"/>
</calcChain>
</file>

<file path=xl/comments1.xml><?xml version="1.0" encoding="utf-8"?>
<comments xmlns="http://schemas.openxmlformats.org/spreadsheetml/2006/main">
  <authors>
    <author/>
  </authors>
  <commentList>
    <comment ref="I222" authorId="0"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<sst xmlns="http://schemas.openxmlformats.org/spreadsheetml/2006/main" count="2722" uniqueCount="1030">
  <si>
    <t>0.</t>
  </si>
  <si>
    <t>1.</t>
  </si>
  <si>
    <t>2.</t>
  </si>
  <si>
    <t>3.</t>
  </si>
  <si>
    <t>4.1</t>
  </si>
  <si>
    <t>4.2</t>
  </si>
  <si>
    <t>5.</t>
  </si>
  <si>
    <t>6.1</t>
  </si>
  <si>
    <t>6.2</t>
  </si>
  <si>
    <t>AÑO DE CÁLCULO</t>
  </si>
  <si>
    <t>C.I.F. / N.I.F.</t>
  </si>
  <si>
    <t>SECTOR</t>
  </si>
  <si>
    <r>
      <rPr>
        <sz val="11"/>
        <color rgb="FF000000"/>
        <rFont val="Arial Narrow"/>
        <family val="2"/>
        <charset val="1"/>
      </rPr>
      <t>t CO</t>
    </r>
    <r>
      <rPr>
        <vertAlign val="subscript"/>
        <sz val="11"/>
        <color rgb="FF000000"/>
        <rFont val="Arial Narrow"/>
        <family val="2"/>
        <charset val="1"/>
      </rPr>
      <t xml:space="preserve">2 </t>
    </r>
    <r>
      <rPr>
        <sz val="11"/>
        <color rgb="FF000000"/>
        <rFont val="Arial Narrow"/>
        <family val="2"/>
        <charset val="1"/>
      </rPr>
      <t>eq</t>
    </r>
  </si>
  <si>
    <r>
      <rPr>
        <b/>
        <sz val="14"/>
        <color rgb="FF000000"/>
        <rFont val="Arial Narrow"/>
        <family val="2"/>
        <charset val="1"/>
      </rPr>
      <t>t CO</t>
    </r>
    <r>
      <rPr>
        <b/>
        <vertAlign val="subscript"/>
        <sz val="14"/>
        <color rgb="FF000000"/>
        <rFont val="Arial Narrow"/>
        <family val="2"/>
        <charset val="1"/>
      </rPr>
      <t xml:space="preserve">2 </t>
    </r>
    <r>
      <rPr>
        <b/>
        <sz val="14"/>
        <color rgb="FF000000"/>
        <rFont val="Arial Narrow"/>
        <family val="2"/>
        <charset val="1"/>
      </rPr>
      <t>eq</t>
    </r>
  </si>
  <si>
    <t>empleados</t>
  </si>
  <si>
    <t>Año 1</t>
  </si>
  <si>
    <t>Año 2</t>
  </si>
  <si>
    <t>Año 3</t>
  </si>
  <si>
    <t>emissions</t>
  </si>
  <si>
    <t>emisiones</t>
  </si>
  <si>
    <t>Sí</t>
  </si>
  <si>
    <t>No</t>
  </si>
  <si>
    <t>Modelo de coche</t>
  </si>
  <si>
    <t>km recorridos</t>
  </si>
  <si>
    <r>
      <rPr>
        <b/>
        <sz val="10"/>
        <color rgb="FFFFFFFF"/>
        <rFont val="Arial Narrow"/>
        <family val="2"/>
        <charset val="1"/>
      </rPr>
      <t>Valor medio
g CO</t>
    </r>
    <r>
      <rPr>
        <b/>
        <vertAlign val="subscript"/>
        <sz val="10"/>
        <color rgb="FFFFFFFF"/>
        <rFont val="Arial Narrow"/>
        <family val="2"/>
        <charset val="1"/>
      </rPr>
      <t>2</t>
    </r>
    <r>
      <rPr>
        <b/>
        <sz val="10"/>
        <color rgb="FFFFFFFF"/>
        <rFont val="Arial Narrow"/>
        <family val="2"/>
        <charset val="1"/>
      </rPr>
      <t>/km 
IDAE</t>
    </r>
  </si>
  <si>
    <t>E5 (l)</t>
  </si>
  <si>
    <t>Gasolina (l)</t>
  </si>
  <si>
    <t>PCA</t>
  </si>
  <si>
    <t>HFC-125</t>
  </si>
  <si>
    <t>HFC-134a</t>
  </si>
  <si>
    <t>COMERCIALIZADORA DE ELECTRICIDAD Y GAS DEL MEDITERRÁNEO, S.L.</t>
  </si>
  <si>
    <t>CONSUMO DE ELECTRICIDAD EN VEHÍCULOS ELÉCTRICOS Y/O HÍBRIDOS ENCHUFABLES</t>
  </si>
  <si>
    <r>
      <rPr>
        <b/>
        <sz val="10"/>
        <color rgb="FF000000"/>
        <rFont val="Arial Narrow"/>
        <family val="2"/>
        <charset val="1"/>
      </rPr>
      <t>t CO</t>
    </r>
    <r>
      <rPr>
        <b/>
        <vertAlign val="subscript"/>
        <sz val="11"/>
        <color rgb="FF000000"/>
        <rFont val="Arial Narrow"/>
        <family val="2"/>
        <charset val="1"/>
      </rPr>
      <t>2</t>
    </r>
    <r>
      <rPr>
        <b/>
        <sz val="11"/>
        <color rgb="FF000000"/>
        <rFont val="Arial Narrow"/>
        <family val="2"/>
        <charset val="1"/>
      </rPr>
      <t>eq</t>
    </r>
  </si>
  <si>
    <t>ALCANCE 1+2</t>
  </si>
  <si>
    <r>
      <rPr>
        <b/>
        <sz val="11"/>
        <color rgb="FFFFFFFF"/>
        <rFont val="Arial Narrow"/>
        <family val="2"/>
        <charset val="1"/>
      </rPr>
      <t>t CO</t>
    </r>
    <r>
      <rPr>
        <b/>
        <vertAlign val="subscript"/>
        <sz val="11"/>
        <color rgb="FFFFFFFF"/>
        <rFont val="Arial Narrow"/>
        <family val="2"/>
        <charset val="1"/>
      </rPr>
      <t>2</t>
    </r>
    <r>
      <rPr>
        <b/>
        <sz val="11"/>
        <color rgb="FFFFFFFF"/>
        <rFont val="Arial Narrow"/>
        <family val="2"/>
        <charset val="1"/>
      </rPr>
      <t>eq</t>
    </r>
  </si>
  <si>
    <t>Instalaciones fijas</t>
  </si>
  <si>
    <r>
      <rPr>
        <b/>
        <sz val="10"/>
        <color rgb="FF000000"/>
        <rFont val="Arial Narrow"/>
        <family val="2"/>
        <charset val="1"/>
      </rPr>
      <t>kg CO</t>
    </r>
    <r>
      <rPr>
        <b/>
        <vertAlign val="subscript"/>
        <sz val="10"/>
        <color rgb="FF000000"/>
        <rFont val="Arial Narrow"/>
        <family val="2"/>
        <charset val="1"/>
      </rPr>
      <t>2</t>
    </r>
    <r>
      <rPr>
        <b/>
        <sz val="10"/>
        <color rgb="FF000000"/>
        <rFont val="Arial Narrow"/>
        <family val="2"/>
        <charset val="1"/>
      </rPr>
      <t>eq</t>
    </r>
  </si>
  <si>
    <r>
      <rPr>
        <b/>
        <sz val="11"/>
        <color rgb="FF000000"/>
        <rFont val="Arial Narrow"/>
        <family val="2"/>
        <charset val="1"/>
      </rPr>
      <t>kg CO</t>
    </r>
    <r>
      <rPr>
        <b/>
        <vertAlign val="subscript"/>
        <sz val="11"/>
        <color rgb="FF000000"/>
        <rFont val="Arial Narrow"/>
        <family val="2"/>
        <charset val="1"/>
      </rPr>
      <t>2</t>
    </r>
    <r>
      <rPr>
        <b/>
        <sz val="11"/>
        <color rgb="FF000000"/>
        <rFont val="Arial Narrow"/>
        <family val="2"/>
        <charset val="1"/>
      </rPr>
      <t>eq</t>
    </r>
  </si>
  <si>
    <r>
      <rPr>
        <b/>
        <sz val="10"/>
        <color rgb="FFFFFFFF"/>
        <rFont val="Arial Narrow"/>
        <family val="2"/>
        <charset val="1"/>
      </rPr>
      <t xml:space="preserve"> 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</si>
  <si>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</si>
  <si>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m</t>
    </r>
    <r>
      <rPr>
        <b/>
        <vertAlign val="superscript"/>
        <sz val="10"/>
        <color rgb="FFFFFFFF"/>
        <rFont val="Arial Narrow"/>
        <family val="2"/>
        <charset val="1"/>
      </rPr>
      <t>2</t>
    </r>
  </si>
  <si>
    <r>
      <rPr>
        <b/>
        <sz val="10"/>
        <color rgb="FF000000"/>
        <rFont val="Arial Narrow"/>
        <family val="2"/>
        <charset val="1"/>
      </rPr>
      <t>t CO</t>
    </r>
    <r>
      <rPr>
        <b/>
        <vertAlign val="subscript"/>
        <sz val="10"/>
        <color rgb="FF000000"/>
        <rFont val="Arial Narrow"/>
        <family val="2"/>
        <charset val="1"/>
      </rPr>
      <t>2</t>
    </r>
    <r>
      <rPr>
        <b/>
        <sz val="10"/>
        <color rgb="FF000000"/>
        <rFont val="Arial Narrow"/>
        <family val="2"/>
        <charset val="1"/>
      </rPr>
      <t>eq /</t>
    </r>
  </si>
  <si>
    <r>
      <rPr>
        <b/>
        <sz val="10"/>
        <color rgb="FF000000"/>
        <rFont val="Arial Narrow"/>
        <family val="2"/>
        <charset val="1"/>
      </rPr>
      <t>m</t>
    </r>
    <r>
      <rPr>
        <b/>
        <vertAlign val="superscript"/>
        <sz val="10"/>
        <color rgb="FF000000"/>
        <rFont val="Arial Narrow"/>
        <family val="2"/>
        <charset val="1"/>
      </rPr>
      <t>2</t>
    </r>
  </si>
  <si>
    <r>
      <rPr>
        <b/>
        <sz val="10"/>
        <rFont val="Arial Narrow"/>
        <family val="2"/>
        <charset val="1"/>
      </rPr>
      <t>t CO</t>
    </r>
    <r>
      <rPr>
        <b/>
        <vertAlign val="subscript"/>
        <sz val="11"/>
        <rFont val="Arial Narrow"/>
        <family val="2"/>
        <charset val="1"/>
      </rPr>
      <t>2</t>
    </r>
    <r>
      <rPr>
        <b/>
        <sz val="11"/>
        <rFont val="Arial Narrow"/>
        <family val="2"/>
        <charset val="1"/>
      </rPr>
      <t>eq</t>
    </r>
  </si>
  <si>
    <r>
      <rPr>
        <b/>
        <sz val="10"/>
        <rFont val="Arial Narrow"/>
        <family val="2"/>
        <charset val="1"/>
      </rPr>
      <t>kg CO</t>
    </r>
    <r>
      <rPr>
        <b/>
        <vertAlign val="subscript"/>
        <sz val="10"/>
        <rFont val="Arial Narrow"/>
        <family val="2"/>
        <charset val="1"/>
      </rPr>
      <t>2</t>
    </r>
    <r>
      <rPr>
        <b/>
        <sz val="10"/>
        <rFont val="Arial Narrow"/>
        <family val="2"/>
        <charset val="1"/>
      </rPr>
      <t>eq</t>
    </r>
  </si>
  <si>
    <r>
      <rPr>
        <b/>
        <sz val="11"/>
        <rFont val="Arial Narrow"/>
        <family val="2"/>
        <charset val="1"/>
      </rPr>
      <t>kg CO</t>
    </r>
    <r>
      <rPr>
        <b/>
        <vertAlign val="subscript"/>
        <sz val="11"/>
        <rFont val="Arial Narrow"/>
        <family val="2"/>
        <charset val="1"/>
      </rPr>
      <t>2</t>
    </r>
    <r>
      <rPr>
        <b/>
        <sz val="11"/>
        <rFont val="Arial Narrow"/>
        <family val="2"/>
        <charset val="1"/>
      </rPr>
      <t>eq</t>
    </r>
  </si>
  <si>
    <r>
      <rPr>
        <b/>
        <sz val="10"/>
        <rFont val="Arial Narrow"/>
        <family val="2"/>
        <charset val="1"/>
      </rPr>
      <t>t CO</t>
    </r>
    <r>
      <rPr>
        <b/>
        <vertAlign val="subscript"/>
        <sz val="10"/>
        <rFont val="Arial Narrow"/>
        <family val="2"/>
        <charset val="1"/>
      </rPr>
      <t>2</t>
    </r>
    <r>
      <rPr>
        <b/>
        <sz val="10"/>
        <rFont val="Arial Narrow"/>
        <family val="2"/>
        <charset val="1"/>
      </rPr>
      <t>eq /</t>
    </r>
  </si>
  <si>
    <r>
      <rPr>
        <b/>
        <sz val="10"/>
        <rFont val="Arial Narrow"/>
        <family val="2"/>
        <charset val="1"/>
      </rPr>
      <t>m</t>
    </r>
    <r>
      <rPr>
        <b/>
        <vertAlign val="superscript"/>
        <sz val="10"/>
        <rFont val="Arial Narrow"/>
        <family val="2"/>
        <charset val="1"/>
      </rPr>
      <t>2</t>
    </r>
  </si>
  <si>
    <t>Lista comb instalaciones fijas 2007 - 2018</t>
  </si>
  <si>
    <t>Lista comb instalaciones fijas a partir de 2019</t>
  </si>
  <si>
    <t>Lista comb vehículos 2007-2018</t>
  </si>
  <si>
    <t>Lista comb vehículos  2019</t>
  </si>
  <si>
    <t>Lista comb vehículos a partir de 2020</t>
  </si>
  <si>
    <t>E5  (l)</t>
  </si>
  <si>
    <t>1_Datos generales organización</t>
  </si>
  <si>
    <t>E10  (l)</t>
  </si>
  <si>
    <t>Gas natural (kWh)*</t>
  </si>
  <si>
    <t>E85 (l)</t>
  </si>
  <si>
    <t>Lista años</t>
  </si>
  <si>
    <t>Lista tipo organización</t>
  </si>
  <si>
    <t>Lista sector</t>
  </si>
  <si>
    <t>LNG (kWh)*</t>
  </si>
  <si>
    <t>E100 (l)</t>
  </si>
  <si>
    <t>Micro</t>
  </si>
  <si>
    <t>CNG (kWh)*</t>
  </si>
  <si>
    <t>B7 (l)</t>
  </si>
  <si>
    <t>LPG (l)</t>
  </si>
  <si>
    <t>B10 (l)</t>
  </si>
  <si>
    <t>B20 (l)</t>
  </si>
  <si>
    <t>Gran empresa</t>
  </si>
  <si>
    <t>B30 (l)</t>
  </si>
  <si>
    <t>B100 (l)</t>
  </si>
  <si>
    <t>XTL (l)</t>
  </si>
  <si>
    <t>LNG (Kg)</t>
  </si>
  <si>
    <t>CNG (kg)</t>
  </si>
  <si>
    <t>H2 (kg)</t>
  </si>
  <si>
    <t>Excluyo respecto a años anteriores:</t>
  </si>
  <si>
    <t>Excluyo respecto a fijas:</t>
  </si>
  <si>
    <t>Excluyo respecto a vehículos:</t>
  </si>
  <si>
    <t>(el año que viene comienza en 2012)</t>
  </si>
  <si>
    <t>Lista_Comb_fósiles_fijos_2011</t>
  </si>
  <si>
    <t>Lista_Comb_fósiles_fijos_2012</t>
  </si>
  <si>
    <t>Lista_Comb_fósiles_fijos_2013</t>
  </si>
  <si>
    <t>Lista_Comb_fósiles_fijos_2014</t>
  </si>
  <si>
    <t>Lista_Comb_fósiles_fijos_2015</t>
  </si>
  <si>
    <t>Lista_Comb_fósiles_fijos_2016</t>
  </si>
  <si>
    <t>Lista_Comb_fósiles_fijos_2017</t>
  </si>
  <si>
    <t>Lista_Comb_fósiles_fijos_2018</t>
  </si>
  <si>
    <t>Lista_Comb_fósiles_fijos_2019</t>
  </si>
  <si>
    <t>Lista_Comb_fósiles_fijos_2020</t>
  </si>
  <si>
    <t>Añado respecto a fijas:</t>
  </si>
  <si>
    <t>E10 (l)</t>
  </si>
  <si>
    <t>Lista_Comb_fósiles_vehículos_2011</t>
  </si>
  <si>
    <t>Lista_Comb_fósiles_vehículos_2012</t>
  </si>
  <si>
    <t>Lista_Comb_fósiles_vehículos_2013</t>
  </si>
  <si>
    <t>Lista_Comb_fósiles_vehículos_2014</t>
  </si>
  <si>
    <t>Lista_Comb_fósiles_vehículos_2015</t>
  </si>
  <si>
    <t>Lista_Comb_fósiles_vehículos_2016</t>
  </si>
  <si>
    <t>Lista_Comb_fósiles_vehículos_2017</t>
  </si>
  <si>
    <t>Lista_Comb_fósiles_vehículos_2018</t>
  </si>
  <si>
    <t>Lista_Comb_fósiles_vehículos_2019</t>
  </si>
  <si>
    <t>Lista_Comb_fósiles_vehículos_2020</t>
  </si>
  <si>
    <t>LNG (kg)</t>
  </si>
  <si>
    <t>Combustible (Unitats FE)</t>
  </si>
  <si>
    <t>Factors d’emissió (FE)</t>
  </si>
  <si>
    <r>
      <rPr>
        <b/>
        <sz val="10"/>
        <rFont val="Arial Narrow"/>
        <family val="2"/>
        <charset val="1"/>
      </rPr>
      <t>Gasolina (</t>
    </r>
    <r>
      <rPr>
        <b/>
        <sz val="10"/>
        <color rgb="FF000000"/>
        <rFont val="Arial Narrow"/>
        <family val="2"/>
        <charset val="1"/>
      </rPr>
      <t>l)</t>
    </r>
  </si>
  <si>
    <t>-</t>
  </si>
  <si>
    <r>
      <rPr>
        <b/>
        <sz val="10"/>
        <rFont val="Arial Narrow"/>
        <family val="2"/>
        <charset val="1"/>
      </rPr>
      <t>E5 (</t>
    </r>
    <r>
      <rPr>
        <b/>
        <sz val="10"/>
        <color rgb="FF000000"/>
        <rFont val="Arial Narrow"/>
        <family val="2"/>
        <charset val="1"/>
      </rPr>
      <t>l)</t>
    </r>
  </si>
  <si>
    <r>
      <rPr>
        <b/>
        <sz val="10"/>
        <rFont val="Arial Narrow"/>
        <family val="2"/>
        <charset val="1"/>
      </rPr>
      <t>E10 (</t>
    </r>
    <r>
      <rPr>
        <b/>
        <sz val="10"/>
        <color rgb="FF000000"/>
        <rFont val="Arial Narrow"/>
        <family val="2"/>
        <charset val="1"/>
      </rPr>
      <t>l)</t>
    </r>
  </si>
  <si>
    <r>
      <rPr>
        <b/>
        <sz val="10"/>
        <rFont val="Arial Narrow"/>
        <family val="2"/>
        <charset val="1"/>
      </rPr>
      <t>E85 (</t>
    </r>
    <r>
      <rPr>
        <b/>
        <sz val="10"/>
        <color rgb="FF000000"/>
        <rFont val="Arial Narrow"/>
        <family val="2"/>
        <charset val="1"/>
      </rPr>
      <t>l)</t>
    </r>
  </si>
  <si>
    <r>
      <rPr>
        <b/>
        <sz val="10"/>
        <rFont val="Arial Narrow"/>
        <family val="2"/>
        <charset val="1"/>
      </rPr>
      <t>E100 (</t>
    </r>
    <r>
      <rPr>
        <b/>
        <sz val="10"/>
        <color rgb="FF000000"/>
        <rFont val="Arial Narrow"/>
        <family val="2"/>
        <charset val="1"/>
      </rPr>
      <t>l)</t>
    </r>
  </si>
  <si>
    <r>
      <rPr>
        <b/>
        <sz val="10"/>
        <rFont val="Arial Narrow"/>
        <family val="2"/>
        <charset val="1"/>
      </rPr>
      <t>B7 (</t>
    </r>
    <r>
      <rPr>
        <b/>
        <sz val="10"/>
        <color rgb="FF000000"/>
        <rFont val="Arial Narrow"/>
        <family val="2"/>
        <charset val="1"/>
      </rPr>
      <t>l)</t>
    </r>
  </si>
  <si>
    <r>
      <rPr>
        <b/>
        <sz val="10"/>
        <rFont val="Arial Narrow"/>
        <family val="2"/>
        <charset val="1"/>
      </rPr>
      <t>B10 (</t>
    </r>
    <r>
      <rPr>
        <b/>
        <sz val="10"/>
        <color rgb="FF000000"/>
        <rFont val="Arial Narrow"/>
        <family val="2"/>
        <charset val="1"/>
      </rPr>
      <t>l)</t>
    </r>
  </si>
  <si>
    <r>
      <rPr>
        <b/>
        <sz val="10"/>
        <rFont val="Arial Narrow"/>
        <family val="2"/>
        <charset val="1"/>
      </rPr>
      <t>B20 (</t>
    </r>
    <r>
      <rPr>
        <b/>
        <sz val="10"/>
        <color rgb="FF000000"/>
        <rFont val="Arial Narrow"/>
        <family val="2"/>
        <charset val="1"/>
      </rPr>
      <t>l)</t>
    </r>
  </si>
  <si>
    <r>
      <rPr>
        <b/>
        <sz val="10"/>
        <rFont val="Arial Narrow"/>
        <family val="2"/>
        <charset val="1"/>
      </rPr>
      <t>B30 (</t>
    </r>
    <r>
      <rPr>
        <b/>
        <sz val="10"/>
        <color rgb="FF000000"/>
        <rFont val="Arial Narrow"/>
        <family val="2"/>
        <charset val="1"/>
      </rPr>
      <t>l)</t>
    </r>
  </si>
  <si>
    <r>
      <rPr>
        <b/>
        <sz val="10"/>
        <rFont val="Arial Narrow"/>
        <family val="2"/>
        <charset val="1"/>
      </rPr>
      <t>B100 (</t>
    </r>
    <r>
      <rPr>
        <b/>
        <sz val="10"/>
        <color rgb="FF000000"/>
        <rFont val="Arial Narrow"/>
        <family val="2"/>
        <charset val="1"/>
      </rPr>
      <t>l)</t>
    </r>
  </si>
  <si>
    <r>
      <rPr>
        <b/>
        <sz val="10"/>
        <rFont val="Arial Narrow"/>
        <family val="2"/>
        <charset val="1"/>
      </rPr>
      <t>XTL (</t>
    </r>
    <r>
      <rPr>
        <b/>
        <sz val="10"/>
        <color rgb="FF000000"/>
        <rFont val="Arial Narrow"/>
        <family val="2"/>
        <charset val="1"/>
      </rPr>
      <t>l)</t>
    </r>
  </si>
  <si>
    <r>
      <rPr>
        <b/>
        <sz val="10"/>
        <rFont val="Arial Narrow"/>
        <family val="2"/>
        <charset val="1"/>
      </rPr>
      <t>Gas natural (</t>
    </r>
    <r>
      <rPr>
        <b/>
        <sz val="10"/>
        <color rgb="FF000000"/>
        <rFont val="Arial Narrow"/>
        <family val="2"/>
        <charset val="1"/>
      </rPr>
      <t>kWh)*</t>
    </r>
  </si>
  <si>
    <r>
      <rPr>
        <b/>
        <sz val="10"/>
        <rFont val="Arial Narrow"/>
        <family val="2"/>
        <charset val="1"/>
      </rPr>
      <t>LNG (</t>
    </r>
    <r>
      <rPr>
        <b/>
        <sz val="10"/>
        <color rgb="FF000000"/>
        <rFont val="Arial Narrow"/>
        <family val="2"/>
        <charset val="1"/>
      </rPr>
      <t>kg)</t>
    </r>
  </si>
  <si>
    <r>
      <rPr>
        <b/>
        <sz val="10"/>
        <rFont val="Arial Narrow"/>
        <family val="2"/>
        <charset val="1"/>
      </rPr>
      <t>CNG (</t>
    </r>
    <r>
      <rPr>
        <b/>
        <sz val="10"/>
        <color rgb="FF000000"/>
        <rFont val="Arial Narrow"/>
        <family val="2"/>
        <charset val="1"/>
      </rPr>
      <t>kg)</t>
    </r>
  </si>
  <si>
    <r>
      <rPr>
        <b/>
        <sz val="10"/>
        <rFont val="Arial Narrow"/>
        <family val="2"/>
        <charset val="1"/>
      </rPr>
      <t>LNG (</t>
    </r>
    <r>
      <rPr>
        <b/>
        <sz val="10"/>
        <color rgb="FF000000"/>
        <rFont val="Arial Narrow"/>
        <family val="2"/>
        <charset val="1"/>
      </rPr>
      <t>kWh)*</t>
    </r>
  </si>
  <si>
    <r>
      <rPr>
        <b/>
        <sz val="10"/>
        <rFont val="Arial Narrow"/>
        <family val="2"/>
        <charset val="1"/>
      </rPr>
      <t>CNG (</t>
    </r>
    <r>
      <rPr>
        <b/>
        <sz val="10"/>
        <color rgb="FF000000"/>
        <rFont val="Arial Narrow"/>
        <family val="2"/>
        <charset val="1"/>
      </rPr>
      <t>kWh)*</t>
    </r>
  </si>
  <si>
    <r>
      <rPr>
        <b/>
        <sz val="10"/>
        <rFont val="Arial Narrow"/>
        <family val="2"/>
        <charset val="1"/>
      </rPr>
      <t>LPG (</t>
    </r>
    <r>
      <rPr>
        <b/>
        <sz val="10"/>
        <color rgb="FF000000"/>
        <rFont val="Arial Narrow"/>
        <family val="2"/>
        <charset val="1"/>
      </rPr>
      <t>l)</t>
    </r>
  </si>
  <si>
    <r>
      <rPr>
        <b/>
        <sz val="10"/>
        <rFont val="Arial Narrow"/>
        <family val="2"/>
        <charset val="1"/>
      </rPr>
      <t>H2</t>
    </r>
    <r>
      <rPr>
        <b/>
        <sz val="10"/>
        <color rgb="FF000000"/>
        <rFont val="Arial Narrow"/>
        <family val="2"/>
        <charset val="1"/>
      </rPr>
      <t xml:space="preserve"> (kg)</t>
    </r>
  </si>
  <si>
    <t>2_Combustibles fósiles</t>
  </si>
  <si>
    <t>(el año que viene habrá que restar 2010 e lugar de 2009)</t>
  </si>
  <si>
    <t>Combustible escogido</t>
  </si>
  <si>
    <t>Lista_Comb_fósiles_fijos</t>
  </si>
  <si>
    <t>Multiplicador
2011</t>
  </si>
  <si>
    <t>Multiplicador
2012</t>
  </si>
  <si>
    <t>Multiplicador
2013</t>
  </si>
  <si>
    <t>Multiplicador
2014</t>
  </si>
  <si>
    <t>Multiplicador
2015</t>
  </si>
  <si>
    <t>Multiplicador
2016</t>
  </si>
  <si>
    <t>Multiplicador
2017</t>
  </si>
  <si>
    <t>Multiplicador
2018</t>
  </si>
  <si>
    <t>Multiplicador
2019</t>
  </si>
  <si>
    <t>Multiplicador
2020</t>
  </si>
  <si>
    <t>Fórmula FE</t>
  </si>
  <si>
    <t>Fórmula</t>
  </si>
  <si>
    <t>Resultado Ins fijas</t>
  </si>
  <si>
    <t>Desplazamientos</t>
  </si>
  <si>
    <t>Propulsión escogida</t>
  </si>
  <si>
    <t>Lista tipo de 
combustible</t>
  </si>
  <si>
    <t>Fórmula B1</t>
  </si>
  <si>
    <t>Fórmula B2</t>
  </si>
  <si>
    <t>Resultado móviles</t>
  </si>
  <si>
    <t>3_Fluorados</t>
  </si>
  <si>
    <t>Refrigerante escogido</t>
  </si>
  <si>
    <t>Fórmula química</t>
  </si>
  <si>
    <t>Lista refrigerantes</t>
  </si>
  <si>
    <t>Fórmula PCA</t>
  </si>
  <si>
    <t>Resultado fluorados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</si>
  <si>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</si>
  <si>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</si>
  <si>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</si>
  <si>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</si>
  <si>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</si>
  <si>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</si>
  <si>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</si>
  <si>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</si>
  <si>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</si>
  <si>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</si>
  <si>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</si>
  <si>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</si>
  <si>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</si>
  <si>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</si>
  <si>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</si>
  <si>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</si>
  <si>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</si>
  <si>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</si>
  <si>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</si>
  <si>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</si>
  <si>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</si>
  <si>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</si>
  <si>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</si>
  <si>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</si>
  <si>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</si>
  <si>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</si>
  <si>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</si>
  <si>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</si>
  <si>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</si>
  <si>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</si>
  <si>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</si>
  <si>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</si>
  <si>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</si>
  <si>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</si>
  <si>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</si>
  <si>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</si>
  <si>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</si>
  <si>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</si>
  <si>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</si>
  <si>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</si>
  <si>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</si>
  <si>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</si>
  <si>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</si>
  <si>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</si>
  <si>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</si>
  <si>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</si>
  <si>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</si>
  <si>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</si>
  <si>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</si>
  <si>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</si>
  <si>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</si>
  <si>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</si>
  <si>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</si>
  <si>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</si>
  <si>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</si>
  <si>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</si>
  <si>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</si>
  <si>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</si>
  <si>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</si>
  <si>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</si>
  <si>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</si>
  <si>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</si>
  <si>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</si>
  <si>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</si>
  <si>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</si>
  <si>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</si>
  <si>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</si>
  <si>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</si>
  <si>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</si>
  <si>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</si>
  <si>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</si>
  <si>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</si>
  <si>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</si>
  <si>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</si>
  <si>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</si>
  <si>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</si>
  <si>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</si>
  <si>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</si>
  <si>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</si>
  <si>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</si>
  <si>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</si>
  <si>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</si>
  <si>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</si>
  <si>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</si>
  <si>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4_Electricidad</t>
  </si>
  <si>
    <t>GdO "varias" y "otras" (solo se despliega "No")</t>
  </si>
  <si>
    <t>GdO genérico, si se indica una comercializadora concreta (se despliegan las tres opciones)</t>
  </si>
  <si>
    <t>EDIFICIOS</t>
  </si>
  <si>
    <t>Extenderla</t>
  </si>
  <si>
    <t>Comercializadora escogida</t>
  </si>
  <si>
    <t>¿GdO?</t>
  </si>
  <si>
    <t>Fórmula Emisiones</t>
  </si>
  <si>
    <t>Para desplegable GdO_1; GdO_2</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</si>
  <si>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</si>
  <si>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</si>
  <si>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</si>
  <si>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</si>
  <si>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</si>
  <si>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</si>
  <si>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</si>
  <si>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</si>
  <si>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</si>
  <si>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</si>
  <si>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</si>
  <si>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</si>
  <si>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</si>
  <si>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</si>
  <si>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</si>
  <si>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</si>
  <si>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</si>
  <si>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</si>
  <si>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</si>
  <si>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</si>
  <si>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</si>
  <si>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</si>
  <si>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</si>
  <si>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</si>
  <si>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</si>
  <si>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</si>
  <si>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</si>
  <si>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</si>
  <si>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</si>
  <si>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</si>
  <si>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</si>
  <si>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</si>
  <si>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</si>
  <si>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</si>
  <si>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</si>
  <si>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</si>
  <si>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</si>
  <si>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</si>
  <si>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</si>
  <si>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</si>
  <si>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</si>
  <si>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</si>
  <si>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</si>
  <si>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</si>
  <si>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</si>
  <si>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</si>
  <si>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</si>
  <si>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</si>
  <si>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</si>
  <si>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</si>
  <si>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</si>
  <si>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</si>
  <si>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</si>
  <si>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</si>
  <si>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</si>
  <si>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</si>
  <si>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</si>
  <si>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</si>
  <si>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</si>
  <si>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</si>
  <si>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</si>
  <si>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</si>
  <si>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</si>
  <si>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</si>
  <si>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</si>
  <si>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</si>
  <si>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</si>
  <si>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</si>
  <si>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</si>
  <si>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</si>
  <si>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</si>
  <si>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</si>
  <si>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</si>
  <si>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</si>
  <si>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</si>
  <si>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</si>
  <si>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</si>
  <si>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</si>
  <si>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</si>
  <si>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</si>
  <si>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</si>
  <si>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</si>
  <si>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</si>
  <si>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</si>
  <si>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</si>
  <si>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</si>
  <si>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</si>
  <si>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</si>
  <si>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</si>
  <si>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</si>
  <si>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</si>
  <si>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</si>
  <si>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</si>
  <si>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</si>
  <si>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</si>
  <si>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</si>
  <si>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</si>
  <si>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</si>
  <si>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</si>
  <si>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</si>
  <si>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</si>
  <si>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</si>
  <si>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</si>
  <si>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</si>
  <si>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</si>
  <si>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</si>
  <si>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</si>
  <si>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</si>
  <si>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</si>
  <si>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</si>
  <si>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</si>
  <si>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</si>
  <si>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</si>
  <si>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</si>
  <si>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</si>
  <si>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</si>
  <si>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</si>
  <si>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</si>
  <si>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</si>
  <si>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</si>
  <si>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</si>
  <si>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</si>
  <si>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</si>
  <si>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</si>
  <si>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</si>
  <si>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</si>
  <si>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</si>
  <si>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</si>
  <si>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</si>
  <si>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</si>
  <si>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</si>
  <si>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</si>
  <si>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</si>
  <si>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</si>
  <si>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</si>
  <si>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</si>
  <si>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</si>
  <si>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</si>
  <si>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</si>
  <si>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</si>
  <si>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</si>
  <si>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</si>
  <si>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</si>
  <si>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</si>
  <si>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</si>
  <si>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</si>
  <si>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</si>
  <si>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</si>
  <si>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</si>
  <si>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</si>
  <si>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</si>
  <si>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</si>
  <si>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</si>
  <si>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</si>
  <si>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</si>
  <si>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</si>
  <si>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</si>
  <si>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</si>
  <si>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</si>
  <si>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</si>
  <si>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</si>
  <si>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</si>
  <si>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</si>
  <si>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</si>
  <si>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</si>
  <si>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</si>
  <si>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</si>
  <si>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</si>
  <si>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</si>
  <si>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</si>
  <si>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</si>
  <si>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</si>
  <si>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</si>
  <si>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</si>
  <si>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</si>
  <si>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</si>
  <si>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</si>
  <si>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</si>
  <si>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</si>
  <si>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</si>
  <si>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</si>
  <si>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</si>
  <si>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</si>
  <si>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</si>
  <si>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</si>
  <si>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</si>
  <si>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</si>
  <si>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</si>
  <si>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</si>
  <si>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</si>
  <si>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</si>
  <si>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</si>
  <si>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</si>
  <si>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</si>
  <si>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</si>
  <si>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</si>
  <si>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</si>
  <si>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</si>
  <si>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</si>
  <si>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</si>
  <si>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</si>
  <si>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</si>
  <si>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</si>
  <si>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</si>
  <si>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</si>
  <si>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</si>
  <si>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</si>
  <si>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</si>
  <si>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</si>
  <si>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</si>
  <si>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</si>
  <si>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</si>
  <si>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</si>
  <si>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</si>
  <si>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</si>
  <si>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</si>
  <si>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</si>
  <si>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</si>
  <si>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</si>
  <si>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</si>
  <si>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</si>
  <si>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</si>
  <si>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</si>
  <si>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</si>
  <si>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</si>
  <si>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</si>
  <si>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</si>
  <si>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</si>
  <si>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</si>
  <si>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</si>
  <si>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</si>
  <si>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</si>
  <si>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</si>
  <si>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</si>
  <si>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</si>
  <si>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</si>
  <si>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</si>
  <si>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</si>
  <si>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</si>
  <si>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</si>
  <si>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</si>
  <si>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</si>
  <si>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</si>
  <si>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</si>
  <si>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</si>
  <si>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</si>
  <si>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</si>
  <si>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</si>
  <si>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</si>
  <si>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</si>
  <si>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</si>
  <si>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</si>
  <si>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</si>
  <si>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</si>
  <si>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</si>
  <si>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</si>
  <si>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</si>
  <si>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</si>
  <si>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</si>
  <si>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</si>
  <si>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</si>
  <si>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</si>
  <si>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</si>
  <si>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</si>
  <si>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</si>
  <si>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</si>
  <si>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</si>
  <si>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</si>
  <si>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</si>
  <si>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</si>
  <si>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</si>
  <si>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</si>
  <si>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</si>
  <si>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</si>
  <si>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</si>
  <si>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</si>
  <si>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</si>
  <si>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</si>
  <si>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</si>
  <si>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</si>
  <si>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</si>
  <si>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</si>
  <si>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</si>
  <si>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</si>
  <si>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</si>
  <si>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</si>
  <si>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</si>
  <si>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</si>
  <si>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</si>
  <si>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</si>
  <si>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</si>
  <si>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</si>
  <si>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</si>
  <si>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</si>
  <si>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</si>
  <si>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</si>
  <si>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</si>
  <si>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</si>
  <si>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</si>
  <si>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</si>
  <si>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</si>
  <si>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</si>
  <si>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</si>
  <si>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</si>
  <si>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</si>
  <si>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</si>
  <si>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</si>
  <si>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</si>
  <si>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</si>
  <si>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</si>
  <si>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</si>
  <si>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</si>
  <si>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</si>
  <si>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</si>
  <si>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</si>
  <si>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</si>
  <si>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</si>
  <si>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</si>
  <si>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</si>
  <si>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</si>
  <si>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</si>
  <si>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</si>
  <si>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</si>
  <si>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</si>
  <si>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</si>
  <si>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</si>
  <si>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</si>
  <si>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</si>
  <si>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</si>
  <si>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</si>
  <si>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</si>
  <si>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</si>
  <si>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</si>
  <si>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</si>
  <si>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</si>
  <si>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</si>
  <si>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</si>
  <si>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</si>
  <si>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</si>
  <si>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</si>
  <si>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</si>
  <si>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</si>
  <si>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</si>
  <si>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</si>
  <si>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</si>
  <si>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</si>
  <si>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</si>
  <si>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</si>
  <si>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</si>
  <si>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</si>
  <si>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</si>
  <si>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</si>
  <si>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</si>
  <si>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</si>
  <si>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</si>
  <si>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</si>
  <si>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</si>
  <si>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</si>
  <si>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</si>
  <si>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</si>
  <si>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</si>
  <si>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</si>
  <si>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</si>
  <si>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</si>
  <si>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</si>
  <si>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</si>
  <si>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</si>
  <si>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</si>
  <si>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</si>
  <si>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</si>
  <si>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</si>
  <si>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</si>
  <si>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</si>
  <si>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</si>
  <si>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</si>
  <si>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</si>
  <si>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</si>
  <si>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</si>
  <si>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</si>
  <si>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</si>
  <si>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</si>
  <si>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</si>
  <si>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</si>
  <si>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</si>
  <si>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</si>
  <si>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</si>
  <si>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</si>
  <si>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</si>
  <si>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</si>
  <si>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</si>
  <si>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</si>
  <si>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</si>
  <si>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VEHÍCULOS</t>
  </si>
  <si>
    <t>Resultado electricidad</t>
  </si>
  <si>
    <t>5_Información adicional</t>
  </si>
  <si>
    <t>Lista tipo 
de ER</t>
  </si>
  <si>
    <t>Lista tipo de biomasa</t>
  </si>
  <si>
    <t>Solar</t>
  </si>
  <si>
    <t>6_Resultados</t>
  </si>
  <si>
    <t>Nombre organización</t>
  </si>
  <si>
    <t>Sector actividad</t>
  </si>
  <si>
    <t>Año</t>
  </si>
  <si>
    <t>Resultado huella 1+2</t>
  </si>
  <si>
    <t>Año de cálc.</t>
  </si>
  <si>
    <t>Índice de actividad</t>
  </si>
  <si>
    <t>redondear a 2 decimales</t>
  </si>
  <si>
    <t>m2</t>
  </si>
  <si>
    <t>Emisiones absolutas (t CO2)</t>
  </si>
  <si>
    <t>HC SEGÚN ALCANCES (tCO2)</t>
  </si>
  <si>
    <t>Alcance 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</si>
  <si>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</si>
  <si>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</si>
  <si>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</si>
  <si>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</si>
  <si>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</si>
  <si>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</si>
  <si>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</si>
  <si>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</si>
  <si>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</si>
  <si>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</si>
  <si>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Celda vacía</t>
  </si>
  <si>
    <t>Resultados por sedes</t>
  </si>
  <si>
    <t xml:space="preserve">Nombre sede </t>
  </si>
  <si>
    <t>Nombres únicos</t>
  </si>
  <si>
    <t>Unión nombres únicos</t>
  </si>
  <si>
    <t>No extender</t>
  </si>
  <si>
    <t>Extender desde aquí</t>
  </si>
  <si>
    <t>ANY</t>
  </si>
  <si>
    <t>CONSUM TOTAL ELECTRICITAT ILLES BALEARS</t>
  </si>
  <si>
    <t>CONSUM NO RENOVABLE ILLES BALEARS</t>
  </si>
  <si>
    <t>CONSUM RENOVABLE ILLES BALEARS (energia subministrada per comercialitzadores 100% verdes)</t>
  </si>
  <si>
    <t>ENERGIA IMPORTADA PENÍNSULA</t>
  </si>
  <si>
    <t>FACTOR EMISSIÓ PENINSULAR</t>
  </si>
  <si>
    <t>FACTOR EMISSIÓ GENÈRIC ESPANYA</t>
  </si>
  <si>
    <t>FACTOR EMISSIÓ SENSE GDO ESPANYA</t>
  </si>
  <si>
    <t>PERCENTATGE ENERGIA AMB SISTEMA DE GDO</t>
  </si>
  <si>
    <t xml:space="preserve">EMISSIONS INDÚSTRIAS SECTOR ENERGÈTIC, CRF </t>
  </si>
  <si>
    <t>FACTORS EMISSIÓ ILLES BALEARS</t>
  </si>
  <si>
    <t>tep</t>
  </si>
  <si>
    <t>MWh</t>
  </si>
  <si>
    <t>kgCO2/kWh</t>
  </si>
  <si>
    <t>%</t>
  </si>
  <si>
    <t>kt CO2 eq</t>
  </si>
  <si>
    <t>t SOx</t>
  </si>
  <si>
    <t>t NOx</t>
  </si>
  <si>
    <t>t PST</t>
  </si>
  <si>
    <t>FIB total mix</t>
  </si>
  <si>
    <t>FIB no renovable</t>
  </si>
  <si>
    <t>FEVC</t>
  </si>
  <si>
    <t>FEVCIB</t>
  </si>
  <si>
    <t>g SOx/kWh</t>
  </si>
  <si>
    <t>g NOx/kWh</t>
  </si>
  <si>
    <t>g Partic./kWh</t>
  </si>
  <si>
    <t>6_Resultados IB</t>
  </si>
  <si>
    <t>kg CO2eq/kWh</t>
  </si>
  <si>
    <t>*</t>
  </si>
  <si>
    <t>GdO origen renovable Illes Balears</t>
  </si>
  <si>
    <t>4_Electricidad Illes Balears</t>
  </si>
  <si>
    <t>Celda I20</t>
  </si>
  <si>
    <t>Celda I21</t>
  </si>
  <si>
    <t>Celda I22</t>
  </si>
  <si>
    <t>Celda I23</t>
  </si>
  <si>
    <t>Celda I24</t>
  </si>
  <si>
    <t>Celda I25</t>
  </si>
  <si>
    <t>Celda I26</t>
  </si>
  <si>
    <t>Celda I27</t>
  </si>
  <si>
    <t>Celda I28</t>
  </si>
  <si>
    <t>Celda I29</t>
  </si>
  <si>
    <t>Celda I30</t>
  </si>
  <si>
    <t>Celda I31</t>
  </si>
  <si>
    <t>Celda I32</t>
  </si>
  <si>
    <t>Celda I33</t>
  </si>
  <si>
    <t>Celda I34</t>
  </si>
  <si>
    <t>Celda I35</t>
  </si>
  <si>
    <t>Celda I36</t>
  </si>
  <si>
    <t>Celda I37</t>
  </si>
  <si>
    <t>Celda I38</t>
  </si>
  <si>
    <t>Celda I39</t>
  </si>
  <si>
    <t>Celda I40</t>
  </si>
  <si>
    <t>Celda I41</t>
  </si>
  <si>
    <t>Celda I49</t>
  </si>
  <si>
    <t>Celda I50</t>
  </si>
  <si>
    <t>Celda I51</t>
  </si>
  <si>
    <t>Celda I52</t>
  </si>
  <si>
    <t>Celda I53</t>
  </si>
  <si>
    <t>Celda I54</t>
  </si>
  <si>
    <t>Celda I55</t>
  </si>
  <si>
    <t>Celda I56</t>
  </si>
  <si>
    <t>Celda I57</t>
  </si>
  <si>
    <t>Celda I58</t>
  </si>
  <si>
    <t>Celda I59</t>
  </si>
  <si>
    <t>Celda I60</t>
  </si>
  <si>
    <t>Celda I61</t>
  </si>
  <si>
    <t>Celda I62</t>
  </si>
  <si>
    <t>Celda I63</t>
  </si>
  <si>
    <t>Celda I64</t>
  </si>
  <si>
    <t>Celda I65</t>
  </si>
  <si>
    <t>Celda I66</t>
  </si>
  <si>
    <t>Celda I67</t>
  </si>
  <si>
    <t>Celda I68</t>
  </si>
  <si>
    <t>Illes Balears</t>
  </si>
  <si>
    <r>
      <t>kg CO</t>
    </r>
    <r>
      <rPr>
        <b/>
        <vertAlign val="subscript"/>
        <sz val="10"/>
        <color rgb="FF000000"/>
        <rFont val="Arial Narrow"/>
        <family val="2"/>
        <charset val="1"/>
      </rPr>
      <t>2</t>
    </r>
    <r>
      <rPr>
        <b/>
        <sz val="10"/>
        <color rgb="FF000000"/>
        <rFont val="Arial Narrow"/>
        <family val="2"/>
      </rPr>
      <t>eq</t>
    </r>
  </si>
  <si>
    <r>
      <t>kg CO</t>
    </r>
    <r>
      <rPr>
        <b/>
        <vertAlign val="subscript"/>
        <sz val="10"/>
        <rFont val="Arial Narrow"/>
        <family val="2"/>
        <charset val="1"/>
      </rPr>
      <t>2</t>
    </r>
    <r>
      <rPr>
        <b/>
        <sz val="10"/>
        <rFont val="Arial Narrow"/>
        <family val="2"/>
      </rPr>
      <t>eq</t>
    </r>
  </si>
  <si>
    <r>
      <t>kg CO</t>
    </r>
    <r>
      <rPr>
        <b/>
        <vertAlign val="subscript"/>
        <sz val="11"/>
        <rFont val="Arial Narrow"/>
        <family val="2"/>
        <charset val="1"/>
      </rPr>
      <t>2</t>
    </r>
    <r>
      <rPr>
        <b/>
        <sz val="11"/>
        <rFont val="Arial Narrow"/>
        <family val="2"/>
      </rPr>
      <t>eq</t>
    </r>
  </si>
  <si>
    <t>Densidad (kg/l)</t>
  </si>
  <si>
    <t>Poder calorífico (kWh/kg)</t>
  </si>
  <si>
    <t>Factor kg CH4 / kWh</t>
  </si>
  <si>
    <t>Factor kg N2O / kWh</t>
  </si>
  <si>
    <t>Factor kgCH4/ud.</t>
  </si>
  <si>
    <t>Factor kgN2O/ud.</t>
  </si>
  <si>
    <t>Año 2020</t>
  </si>
  <si>
    <t>Fórmula FE N2O</t>
  </si>
  <si>
    <t>Fórmula FE CH4</t>
  </si>
  <si>
    <t>Emisiones CH4 en kgCO2eq</t>
  </si>
  <si>
    <t>Emisiones N2O en kgCO2eq</t>
  </si>
  <si>
    <t>Total con FE por defecto kgCO2eq</t>
  </si>
  <si>
    <t>Multiplicador
CH4 y N2O</t>
  </si>
  <si>
    <r>
      <t>Emisiones parciales
B.2 en Illes Balears
(kg CO</t>
    </r>
    <r>
      <rPr>
        <b/>
        <vertAlign val="subscript"/>
        <sz val="10"/>
        <color rgb="FFFFFFFF"/>
        <rFont val="Arial Narrow"/>
        <family val="2"/>
        <charset val="1"/>
      </rPr>
      <t>2</t>
    </r>
    <r>
      <rPr>
        <b/>
        <sz val="10"/>
        <color rgb="FFFFFFFF"/>
        <rFont val="Arial Narrow"/>
        <family val="2"/>
        <charset val="1"/>
      </rPr>
      <t>eq)</t>
    </r>
  </si>
  <si>
    <r>
      <t>Emisiones parciales B.2 
(kg CO</t>
    </r>
    <r>
      <rPr>
        <b/>
        <vertAlign val="subscript"/>
        <sz val="11"/>
        <color rgb="FFFFFFFF"/>
        <rFont val="Arial Narrow"/>
        <family val="2"/>
        <charset val="1"/>
      </rPr>
      <t>2</t>
    </r>
    <r>
      <rPr>
        <b/>
        <sz val="11"/>
        <color rgb="FFFFFFFF"/>
        <rFont val="Arial Narrow"/>
        <family val="2"/>
        <charset val="1"/>
      </rPr>
      <t>eq)</t>
    </r>
  </si>
  <si>
    <r>
      <t xml:space="preserve">PCA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rPr>
      <t>eq</t>
    </r>
    <r>
      <rPr>
        <b/>
        <sz val="9"/>
        <color rgb="FFFFFFFF"/>
        <rFont val="Arial Narrow"/>
        <family val="2"/>
        <charset val="1"/>
      </rPr>
      <t>/kg GEI)</t>
    </r>
  </si>
  <si>
    <t>CALCULADORA DE PETJADA DE CARBONI D'ABAST 1+2 
PER ORGANITZACIONS 2020</t>
  </si>
  <si>
    <t>ÍNDEX</t>
  </si>
  <si>
    <t>Petjada de carboni Abast 1: Combustibles fòssils</t>
  </si>
  <si>
    <t>Petjada de carboni Abast 1: Fugues de gasos fluorats</t>
  </si>
  <si>
    <t>Petjada de carboni Abast 1: Emissions de procés</t>
  </si>
  <si>
    <t>Petjada de carboni Abast 2: Electricitat registre balear</t>
  </si>
  <si>
    <t>Petjada de carboni Abast 2: Electricitat registre espanyol</t>
  </si>
  <si>
    <t>Informació addicional: Renovables</t>
  </si>
  <si>
    <t>Informe final: Resultats registre balear</t>
  </si>
  <si>
    <t>Informe final: Resultats registre espanyol</t>
  </si>
  <si>
    <t>ANY DE CÀLCUL</t>
  </si>
  <si>
    <t xml:space="preserve">  TIPUS D'ORGANITZACIÓ</t>
  </si>
  <si>
    <t>Petita</t>
  </si>
  <si>
    <t>Mitjana</t>
  </si>
  <si>
    <t>Administració</t>
  </si>
  <si>
    <t>Entitat sense ànim de lucre</t>
  </si>
  <si>
    <t>Altres</t>
  </si>
  <si>
    <t>A.- Agricultura, ganaderia, silvicultura i pesca</t>
  </si>
  <si>
    <t>D.- Suministre d'energia elèctrica, gas, vapor i aire acondicionat</t>
  </si>
  <si>
    <t>E.- Suministre d'agua, activitats de sanejament, gestió de residus i descontaminació</t>
  </si>
  <si>
    <t>F.- Construcció</t>
  </si>
  <si>
    <t>G.- Comerç al por major i al por menor; reparació de vehicles de motor i motocicletes</t>
  </si>
  <si>
    <t>H.- Transport i emmagatzematge</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</si>
  <si>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</si>
  <si>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</si>
  <si>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</si>
  <si>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</si>
  <si>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</si>
  <si>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</si>
  <si>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</si>
  <si>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</si>
  <si>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</si>
  <si>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</si>
  <si>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</si>
  <si>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</si>
  <si>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</si>
  <si>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B.- Indústries extractives</t>
  </si>
  <si>
    <t>C.- Indústria manufacturera</t>
  </si>
  <si>
    <t>ANY 1</t>
  </si>
  <si>
    <t>ANY 2</t>
  </si>
  <si>
    <t>ANY 3</t>
  </si>
  <si>
    <r>
      <t xml:space="preserve">ANY </t>
    </r>
    <r>
      <rPr>
        <b/>
        <sz val="10"/>
        <color rgb="FFFFFFFF"/>
        <rFont val="Arial Narrow"/>
        <family val="2"/>
        <charset val="1"/>
      </rPr>
      <t>de càlcul</t>
    </r>
  </si>
  <si>
    <t>Espanya</t>
  </si>
  <si>
    <t>PC ANY 1</t>
  </si>
  <si>
    <t>PC ANY 2</t>
  </si>
  <si>
    <t>PC ANY 3</t>
  </si>
  <si>
    <r>
      <t xml:space="preserve">PC </t>
    </r>
    <r>
      <rPr>
        <b/>
        <sz val="10"/>
        <color rgb="FFFFFFFF"/>
        <rFont val="Arial Narrow"/>
        <family val="2"/>
        <charset val="1"/>
      </rPr>
      <t>any de càlcul</t>
    </r>
  </si>
  <si>
    <t>ÍNDEX D'ACTIVITAT</t>
  </si>
  <si>
    <t>Nom</t>
  </si>
  <si>
    <t>Valor numèric
Illes Balears</t>
  </si>
  <si>
    <t>Valor numèric
Espanya</t>
  </si>
  <si>
    <t>Unitats</t>
  </si>
  <si>
    <t>Any de càlcul</t>
  </si>
  <si>
    <t>Any 1</t>
  </si>
  <si>
    <t>Any 3</t>
  </si>
  <si>
    <t>Any 2</t>
  </si>
  <si>
    <r>
      <t xml:space="preserve">  Superfície</t>
    </r>
    <r>
      <rPr>
        <b/>
        <vertAlign val="superscript"/>
        <sz val="11"/>
        <color rgb="FFFFFFFF"/>
        <rFont val="Arial Narrow"/>
        <family val="2"/>
        <charset val="1"/>
      </rPr>
      <t xml:space="preserve"> </t>
    </r>
    <r>
      <rPr>
        <b/>
        <sz val="11"/>
        <color rgb="FFFFFFFF"/>
        <rFont val="Arial Narrow"/>
        <family val="2"/>
        <charset val="1"/>
      </rPr>
      <t>(m</t>
    </r>
    <r>
      <rPr>
        <b/>
        <vertAlign val="superscript"/>
        <sz val="11"/>
        <color rgb="FFFFFFFF"/>
        <rFont val="Arial Narrow"/>
        <family val="2"/>
        <charset val="1"/>
      </rPr>
      <t>2</t>
    </r>
    <r>
      <rPr>
        <b/>
        <sz val="11"/>
        <color rgb="FFFFFFFF"/>
        <rFont val="Arial Narrow"/>
        <family val="2"/>
        <charset val="1"/>
      </rPr>
      <t>)</t>
    </r>
  </si>
  <si>
    <t xml:space="preserve">  Nº de treballadors</t>
  </si>
  <si>
    <t>En el cas d'haver calculat la petjada de carboni de la seva organització per a altres anys anteriors, indiqui a continuació quins són i els valors de petjada de carboni d'abast 1+2 obtinguts. Comenci a introduir les dades per l'ANY 1.</t>
  </si>
  <si>
    <t>A continuació haurà d'indicar l'índex (nom, valor numèric i unitats) que reflecteixi de manera més adequada el nivell d'activitat de la seva organització.
En l'apartat de resultats, podrà trobar el valor del rati d'emissions referit a aquest índex.</t>
  </si>
  <si>
    <t>De manera opcional, pot emplenar les dades de superfície i nombre de treballadors de la seva organització amb la finalitat d'obtenir resultats relatius a aquests paràmetres en la fulla de resultats.</t>
  </si>
  <si>
    <t>0. Dades de la organització</t>
  </si>
  <si>
    <t>1. PC Abast 1: Comb. fòssils</t>
  </si>
  <si>
    <t>2. PC Abast 1: Fugues fluorats</t>
  </si>
  <si>
    <t>3. PC Abast 1: Emissions procés</t>
  </si>
  <si>
    <t>4.1 PC 2: Electricitat I. Balears</t>
  </si>
  <si>
    <t>4.2 PC 2: Electricitat Espanya</t>
  </si>
  <si>
    <t>5. Inf. addicional: renovables</t>
  </si>
  <si>
    <t>6.1 Informe final: Resultats I. Balears</t>
  </si>
  <si>
    <t>6.2 Informe final: Resultats Espanya</t>
  </si>
  <si>
    <t xml:space="preserve">                                                                        DADES GENERALS DE L'ORGANITZACIÓ                                                                             </t>
  </si>
  <si>
    <t>Dades generals de l'organització</t>
  </si>
  <si>
    <t>0. Dades de l'organització</t>
  </si>
  <si>
    <t>NOM DE L'ORGANITZACIÓ</t>
  </si>
  <si>
    <t>1. PC Abast 1: Comb. Fòssils</t>
  </si>
  <si>
    <t xml:space="preserve">                                          ABAST 1: COMBUSTIBLES FÒSSILS</t>
  </si>
  <si>
    <t xml:space="preserve">4.1 PC 2: Electricitat I. Balears </t>
  </si>
  <si>
    <t>Emplenar en cas que l'organització, per al desenvolupament de la seva activitat:</t>
  </si>
  <si>
    <r>
      <t>A.</t>
    </r>
    <r>
      <rPr>
        <sz val="12"/>
        <color rgb="FF808080"/>
        <rFont val="Arial Narrow"/>
        <family val="2"/>
        <charset val="1"/>
      </rPr>
      <t xml:space="preserve">   </t>
    </r>
    <r>
      <rPr>
        <sz val="12"/>
        <color rgb="FF003366"/>
        <rFont val="Arial Narrow"/>
        <family val="2"/>
        <charset val="1"/>
      </rPr>
      <t>Disposi d'instal·lacions fixes (calderes, forns, turbines, etc.) que consumeixin combustibles fòssils per a la generació de calor i/o vapor</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</si>
  <si>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Realitzi desplaçaments en vehicles propis o llogats (ja siguin turismes, camions, furgonetes, motos, etc.)</t>
    </r>
  </si>
  <si>
    <t>En cas que l'organització consumeixi electricitat, calor o vapor provinent de les seves pròpies instal·lacions d'energia renovable, pot incloure dades relatives a les mateixes en la pestanya 5_Informació addicional.</t>
  </si>
  <si>
    <t>A.    INSTAL·LACIONS FIXES</t>
  </si>
  <si>
    <t>CONSUM DE COMBUSTIBLES EN INSTAL·LACIONS FIXES</t>
  </si>
  <si>
    <t>Edifici / Seu</t>
  </si>
  <si>
    <t xml:space="preserve"> Tipus de Combustible</t>
  </si>
  <si>
    <t>Quantitat comb. (ud)</t>
  </si>
  <si>
    <r>
      <t>Factor emissió 
(kg CO</t>
    </r>
    <r>
      <rPr>
        <b/>
        <vertAlign val="subscript"/>
        <sz val="10"/>
        <color rgb="FFFFFFFF"/>
        <rFont val="Arial Narrow"/>
        <family val="2"/>
        <charset val="1"/>
      </rPr>
      <t>2</t>
    </r>
    <r>
      <rPr>
        <b/>
        <sz val="10"/>
        <color rgb="FFFFFFFF"/>
        <rFont val="Arial Narrow"/>
        <family val="2"/>
        <charset val="1"/>
      </rPr>
      <t>/ud)</t>
    </r>
  </si>
  <si>
    <r>
      <t>Factor emissió
(kg CH</t>
    </r>
    <r>
      <rPr>
        <b/>
        <vertAlign val="subscript"/>
        <sz val="10"/>
        <color rgb="FFFFFFFF"/>
        <rFont val="Arial Narrow"/>
        <family val="2"/>
      </rPr>
      <t>4</t>
    </r>
    <r>
      <rPr>
        <b/>
        <sz val="10"/>
        <color rgb="FFFFFFFF"/>
        <rFont val="Arial Narrow"/>
        <family val="2"/>
        <charset val="1"/>
      </rPr>
      <t>/ud)</t>
    </r>
  </si>
  <si>
    <r>
      <t>Factor emissió
(kg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/ud)</t>
    </r>
  </si>
  <si>
    <r>
      <t>Altres
(kg CO</t>
    </r>
    <r>
      <rPr>
        <b/>
        <vertAlign val="subscript"/>
        <sz val="10"/>
        <color rgb="FFFFFFFF"/>
        <rFont val="Arial Narrow"/>
        <family val="2"/>
      </rPr>
      <t>2</t>
    </r>
    <r>
      <rPr>
        <b/>
        <sz val="10"/>
        <color rgb="FFFFFFFF"/>
        <rFont val="Arial Narrow"/>
        <family val="2"/>
        <charset val="1"/>
      </rPr>
      <t>eq/ud)</t>
    </r>
  </si>
  <si>
    <r>
      <t>Emissions parcials a
les Illes Balears (kg CO</t>
    </r>
    <r>
      <rPr>
        <b/>
        <vertAlign val="subscript"/>
        <sz val="10"/>
        <color rgb="FFFFFFFF"/>
        <rFont val="Arial Narrow"/>
        <family val="2"/>
        <charset val="1"/>
      </rPr>
      <t>2</t>
    </r>
    <r>
      <rPr>
        <b/>
        <sz val="10"/>
        <color rgb="FFFFFFFF"/>
        <rFont val="Arial Narrow"/>
        <family val="2"/>
        <charset val="1"/>
      </rPr>
      <t>eq)</t>
    </r>
  </si>
  <si>
    <r>
      <t>Emissions parcials
(kg CO</t>
    </r>
    <r>
      <rPr>
        <b/>
        <vertAlign val="subscript"/>
        <sz val="10"/>
        <color rgb="FFFFFFFF"/>
        <rFont val="Arial Narrow"/>
        <family val="2"/>
        <charset val="1"/>
      </rPr>
      <t>2</t>
    </r>
    <r>
      <rPr>
        <b/>
        <sz val="10"/>
        <color rgb="FFFFFFFF"/>
        <rFont val="Arial Narrow"/>
        <family val="2"/>
        <charset val="1"/>
      </rPr>
      <t xml:space="preserve">eq) </t>
    </r>
  </si>
  <si>
    <r>
      <t>EMISSIONS 
TOTALS INSTAL·LAC. FIXES SITUADES A LES 
ILLES BALEARS (kg CO</t>
    </r>
    <r>
      <rPr>
        <b/>
        <vertAlign val="subscript"/>
        <sz val="9"/>
        <color rgb="FFFFFFFF"/>
        <rFont val="Arial Narrow"/>
        <family val="2"/>
        <charset val="1"/>
      </rPr>
      <t>2</t>
    </r>
    <r>
      <rPr>
        <b/>
        <sz val="9"/>
        <color rgb="FFFFFFFF"/>
        <rFont val="Arial Narrow"/>
        <family val="2"/>
        <charset val="1"/>
      </rPr>
      <t xml:space="preserve">eq) </t>
    </r>
  </si>
  <si>
    <r>
      <t>EMISSIONS 
TOTALS INSTAL·LAC. FIXES
 (kg CO</t>
    </r>
    <r>
      <rPr>
        <b/>
        <vertAlign val="subscript"/>
        <sz val="9"/>
        <color rgb="FFFFFFFF"/>
        <rFont val="Arial Narrow"/>
        <family val="2"/>
        <charset val="1"/>
      </rPr>
      <t>2</t>
    </r>
    <r>
      <rPr>
        <b/>
        <sz val="9"/>
        <color rgb="FFFFFFFF"/>
        <rFont val="Arial Narrow"/>
        <family val="2"/>
        <charset val="1"/>
      </rPr>
      <t xml:space="preserve">eq) </t>
    </r>
  </si>
  <si>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</si>
  <si>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B.    DESPLAÇAMENTS EN VEHICLES QUE CONSUMEIXEN COMBUSTIBLES FÒSSILS</t>
  </si>
  <si>
    <t>CONSUM DE COMBUSTIBLES EN DESPLAÇAMENTS</t>
  </si>
  <si>
    <t>Opció B.1 (Combustible consumit)</t>
  </si>
  <si>
    <t>Vehicle o flota de vehicles</t>
  </si>
  <si>
    <t>¿Està ubicat a les Illes Balears?</t>
  </si>
  <si>
    <t>Tipus de Combustible</t>
  </si>
  <si>
    <r>
      <t>Emissions parcials
B.1 a les Illes Balears
(kg CO</t>
    </r>
    <r>
      <rPr>
        <b/>
        <vertAlign val="subscript"/>
        <sz val="10"/>
        <color rgb="FFFFFFFF"/>
        <rFont val="Arial Narrow"/>
        <family val="2"/>
        <charset val="1"/>
      </rPr>
      <t>2</t>
    </r>
    <r>
      <rPr>
        <b/>
        <sz val="10"/>
        <color rgb="FFFFFFFF"/>
        <rFont val="Arial Narrow"/>
        <family val="2"/>
        <charset val="1"/>
      </rPr>
      <t>eq)</t>
    </r>
  </si>
  <si>
    <r>
      <t>Emissions parcials B.1 
(kg CO</t>
    </r>
    <r>
      <rPr>
        <b/>
        <vertAlign val="subscript"/>
        <sz val="11"/>
        <color rgb="FFFFFFFF"/>
        <rFont val="Arial Narrow"/>
        <family val="2"/>
        <charset val="1"/>
      </rPr>
      <t>2</t>
    </r>
    <r>
      <rPr>
        <b/>
        <sz val="11"/>
        <color rgb="FFFFFFFF"/>
        <rFont val="Arial Narrow"/>
        <family val="2"/>
        <charset val="1"/>
      </rPr>
      <t>eq)</t>
    </r>
  </si>
  <si>
    <t>Opció B.2 (km recorreguts i model de cotxe)</t>
  </si>
  <si>
    <r>
      <t>EMISSIONS TOTALS
TRANSPORT A LES
ILLES BALEARS
(kg CO</t>
    </r>
    <r>
      <rPr>
        <b/>
        <vertAlign val="subscript"/>
        <sz val="10"/>
        <color rgb="FFFFFFFF"/>
        <rFont val="Arial Narrow"/>
        <family val="2"/>
        <charset val="1"/>
      </rPr>
      <t>2</t>
    </r>
    <r>
      <rPr>
        <b/>
        <sz val="10"/>
        <color rgb="FFFFFFFF"/>
        <rFont val="Arial Narrow"/>
        <family val="2"/>
        <charset val="1"/>
      </rPr>
      <t>eq)</t>
    </r>
  </si>
  <si>
    <r>
      <t>EMISSIONS 
TOTALS TRANSPORT
(kg CO</t>
    </r>
    <r>
      <rPr>
        <b/>
        <vertAlign val="subscript"/>
        <sz val="10"/>
        <color rgb="FFFFFFFF"/>
        <rFont val="Arial Narrow"/>
        <family val="2"/>
        <charset val="1"/>
      </rPr>
      <t>2</t>
    </r>
    <r>
      <rPr>
        <b/>
        <sz val="10"/>
        <color rgb="FFFFFFFF"/>
        <rFont val="Arial Narrow"/>
        <family val="2"/>
        <charset val="1"/>
      </rPr>
      <t>eq)</t>
    </r>
  </si>
  <si>
    <t>Gasoil C (l)</t>
  </si>
  <si>
    <t>Gasoil B (l)</t>
  </si>
  <si>
    <t>Gas butà (kg)</t>
  </si>
  <si>
    <t>Gas propà kg)</t>
  </si>
  <si>
    <t>Fueloil (kg)</t>
  </si>
  <si>
    <t>Hulla nacional (kg)</t>
  </si>
  <si>
    <t>Hulla d'importació (kg)</t>
  </si>
  <si>
    <t>Coc de petroli (kg)</t>
  </si>
  <si>
    <t>Gasoil A (l)</t>
  </si>
  <si>
    <t>Biomassa (kg)</t>
  </si>
  <si>
    <t>Gas propà (kg)</t>
  </si>
  <si>
    <t>Hulla de importación (kg)</t>
  </si>
  <si>
    <t>Altres (ud)</t>
  </si>
  <si>
    <r>
      <t>Gasoil A (</t>
    </r>
    <r>
      <rPr>
        <b/>
        <sz val="10"/>
        <color rgb="FF000000"/>
        <rFont val="Arial Narrow"/>
        <family val="2"/>
        <charset val="1"/>
      </rPr>
      <t>l)</t>
    </r>
  </si>
  <si>
    <r>
      <t>Gasoil C (</t>
    </r>
    <r>
      <rPr>
        <b/>
        <sz val="10"/>
        <color rgb="FF000000"/>
        <rFont val="Arial Narrow"/>
        <family val="2"/>
        <charset val="1"/>
      </rPr>
      <t>l)</t>
    </r>
  </si>
  <si>
    <r>
      <t>Gas butà (</t>
    </r>
    <r>
      <rPr>
        <b/>
        <sz val="10"/>
        <color rgb="FF000000"/>
        <rFont val="Arial Narrow"/>
        <family val="2"/>
        <charset val="1"/>
      </rPr>
      <t>kg)</t>
    </r>
  </si>
  <si>
    <r>
      <t>Gas propà (</t>
    </r>
    <r>
      <rPr>
        <b/>
        <sz val="10"/>
        <color rgb="FF000000"/>
        <rFont val="Arial Narrow"/>
        <family val="2"/>
        <charset val="1"/>
      </rPr>
      <t>kg)</t>
    </r>
  </si>
  <si>
    <r>
      <t>Fueloil (</t>
    </r>
    <r>
      <rPr>
        <b/>
        <sz val="10"/>
        <color rgb="FF000000"/>
        <rFont val="Arial Narrow"/>
        <family val="2"/>
        <charset val="1"/>
      </rPr>
      <t>kg)</t>
    </r>
  </si>
  <si>
    <r>
      <t>Hulla nacional (</t>
    </r>
    <r>
      <rPr>
        <b/>
        <sz val="10"/>
        <color rgb="FF000000"/>
        <rFont val="Arial Narrow"/>
        <family val="2"/>
        <charset val="1"/>
      </rPr>
      <t>kg)</t>
    </r>
  </si>
  <si>
    <t>Emplenar en cas que l'organització disposi d'equips de refrigeració i/o climatització que utilitzin gasos refrigerants fluorats i que s'hagi detectat que s'han produït fugides (ja sigui pel seu ús, un accident, etc.) d'aquests gasos en aquests. També s'inclou en aquest apartat les emissions de SF6 (emissions produïdes principalment en equips elèctrics de mitjana i alta tensió)</t>
  </si>
  <si>
    <t xml:space="preserve">                                          ABAST 1: EMISSIONS FUGITIVES - FLUORATS</t>
  </si>
  <si>
    <t>REFRIGERACIÓ I CLIMATIZACIÓ (FUGA DE GASOS FLUORATS)</t>
  </si>
  <si>
    <t>Refrigerant de cada equip</t>
  </si>
  <si>
    <t>Nom del gas o 
de la barreja</t>
  </si>
  <si>
    <t>ALTRES BARREGES</t>
  </si>
  <si>
    <t>Fòrmula  química</t>
  </si>
  <si>
    <t xml:space="preserve"> Tipus d'equip</t>
  </si>
  <si>
    <t>Càrrega inicial de l'equip (kg)</t>
  </si>
  <si>
    <t xml:space="preserve">Recàrrega anual de l'equip (kg) </t>
  </si>
  <si>
    <r>
      <t>Emissions parcials
a les Illes Balears 
(kg CO</t>
    </r>
    <r>
      <rPr>
        <b/>
        <vertAlign val="subscript"/>
        <sz val="10"/>
        <color rgb="FFFFFFFF"/>
        <rFont val="Arial Narrow"/>
        <family val="2"/>
        <charset val="1"/>
      </rPr>
      <t>2</t>
    </r>
    <r>
      <rPr>
        <b/>
        <sz val="10"/>
        <color rgb="FFFFFFFF"/>
        <rFont val="Arial Narrow"/>
        <family val="2"/>
        <charset val="1"/>
      </rPr>
      <t>eq)</t>
    </r>
  </si>
  <si>
    <r>
      <t>Emissions parcials
(kg CO</t>
    </r>
    <r>
      <rPr>
        <b/>
        <vertAlign val="subscript"/>
        <sz val="10"/>
        <color rgb="FFFFFFFF"/>
        <rFont val="Arial Narrow"/>
        <family val="2"/>
        <charset val="1"/>
      </rPr>
      <t>2</t>
    </r>
    <r>
      <rPr>
        <b/>
        <sz val="10"/>
        <color rgb="FFFFFFFF"/>
        <rFont val="Arial Narrow"/>
        <family val="2"/>
        <charset val="1"/>
      </rPr>
      <t>eq)</t>
    </r>
  </si>
  <si>
    <r>
      <t>Emissions totals
a les Illes Balears
(kg CO</t>
    </r>
    <r>
      <rPr>
        <b/>
        <vertAlign val="subscript"/>
        <sz val="10"/>
        <color rgb="FFFFFFFF"/>
        <rFont val="Arial Narrow"/>
        <family val="2"/>
        <charset val="1"/>
      </rPr>
      <t>2</t>
    </r>
    <r>
      <rPr>
        <b/>
        <sz val="10"/>
        <color rgb="FFFFFFFF"/>
        <rFont val="Arial Narrow"/>
        <family val="2"/>
        <charset val="1"/>
      </rPr>
      <t>eq)</t>
    </r>
  </si>
  <si>
    <r>
      <t>Emissions totals
(kg CO</t>
    </r>
    <r>
      <rPr>
        <b/>
        <vertAlign val="subscript"/>
        <sz val="10"/>
        <color rgb="FFFFFFFF"/>
        <rFont val="Arial Narrow"/>
        <family val="2"/>
        <charset val="1"/>
      </rPr>
      <t>2</t>
    </r>
    <r>
      <rPr>
        <b/>
        <sz val="10"/>
        <color rgb="FFFFFFFF"/>
        <rFont val="Arial Narrow"/>
        <family val="2"/>
        <charset val="1"/>
      </rPr>
      <t>eq)</t>
    </r>
  </si>
  <si>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</si>
  <si>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</si>
  <si>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Processos industrials (descarbonatació de la calç durant la producció de ciment, venteo, refinament d'oli i gas, etc.).
B. Processos agrícoles (putrefacció i fermentació, fem, bestiar, purins, aplicació de fertilitzants de nitrogen, etc.).
C. Processos de tractament de residus i d'aigües residuals.</t>
  </si>
  <si>
    <t xml:space="preserve">                                           ABAST 1: EMISSIONS DIRECTES RELACIONADES AMB ELS PROCESSOS</t>
  </si>
  <si>
    <t>EMISSIONS DE PROCESSOS</t>
  </si>
  <si>
    <t>Edifici / Seu / Centre
de Treball</t>
  </si>
  <si>
    <t>Tipus de procés</t>
  </si>
  <si>
    <t>Tipus de GEH</t>
  </si>
  <si>
    <r>
      <t xml:space="preserve">Quantitat emissions GEH </t>
    </r>
    <r>
      <rPr>
        <b/>
        <sz val="9"/>
        <color rgb="FFFFFFFF"/>
        <rFont val="Arial Narrow"/>
        <family val="2"/>
        <charset val="1"/>
      </rPr>
      <t>(kg GEH)</t>
    </r>
  </si>
  <si>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</si>
  <si>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</si>
  <si>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</si>
  <si>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 xml:space="preserve">                                           ABAST 2: ELECTRICITAT ILLES BALEARS</t>
  </si>
  <si>
    <t>CONSUM D'ELECTRICITAT EN EDIFICIS</t>
  </si>
  <si>
    <t>CONSUM D'ELECTRICITAT EN VEHICLES ELÈCTRICS I/O HÍBRIDS ENDOLLABLES</t>
  </si>
  <si>
    <t>Emplenar en cas que l'organització, per al desenvolupament de la seva activitat, consumeixi electricitat contractada (comprada) en els seus edificis i/o disposi de vehicles elèctrics i/o híbrids endollables.</t>
  </si>
  <si>
    <t>S'exclouen les emissions derivades de l'electricitat comprada per a ser revenuda i les emissions procedents de la transmissió i distribució de l'electricitat. Aquestes emissions formarien part de les emissions indirectes d'abast 3, que no s'inclouen en la present calculadora.</t>
  </si>
  <si>
    <t>ELECTRICITAT EDIFICIS</t>
  </si>
  <si>
    <t xml:space="preserve">    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</si>
  <si>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</si>
  <si>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</si>
  <si>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parcials
(kg CO</t>
    </r>
    <r>
      <rPr>
        <b/>
        <vertAlign val="subscript"/>
        <sz val="11"/>
        <color rgb="FFFFFFFF"/>
        <rFont val="Arial Narrow"/>
        <family val="2"/>
        <charset val="1"/>
      </rPr>
      <t>2</t>
    </r>
    <r>
      <rPr>
        <b/>
        <sz val="11"/>
        <color rgb="FFFFFFFF"/>
        <rFont val="Arial Narrow"/>
        <family val="2"/>
        <charset val="1"/>
      </rPr>
      <t>)</t>
    </r>
  </si>
  <si>
    <r>
      <t>Emissions edificis
(kg CO</t>
    </r>
    <r>
      <rPr>
        <b/>
        <vertAlign val="subscript"/>
        <sz val="11"/>
        <color rgb="FFFFFFFF"/>
        <rFont val="Arial Narrow"/>
        <family val="2"/>
        <charset val="1"/>
      </rPr>
      <t>2</t>
    </r>
    <r>
      <rPr>
        <b/>
        <sz val="11"/>
        <color rgb="FFFFFFFF"/>
        <rFont val="Arial Narrow"/>
        <family val="2"/>
        <charset val="1"/>
      </rPr>
      <t>)</t>
    </r>
  </si>
  <si>
    <r>
      <t>Emissions vehicles
(kg CO</t>
    </r>
    <r>
      <rPr>
        <b/>
        <vertAlign val="subscript"/>
        <sz val="11"/>
        <color rgb="FFFFFFFF"/>
        <rFont val="Arial Narrow"/>
        <family val="2"/>
        <charset val="1"/>
      </rPr>
      <t>2</t>
    </r>
    <r>
      <rPr>
        <b/>
        <sz val="11"/>
        <color rgb="FFFFFFFF"/>
        <rFont val="Arial Narrow"/>
        <family val="2"/>
        <charset val="1"/>
      </rPr>
      <t>)</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</si>
  <si>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</si>
  <si>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Vehicle elèctric o híbrid endollable</t>
  </si>
  <si>
    <t>Nom de la comercialitzadora suministradora d'energia</t>
  </si>
  <si>
    <r>
      <t xml:space="preserve"> Dades de consum (</t>
    </r>
    <r>
      <rPr>
        <b/>
        <sz val="9"/>
        <color rgb="FFFFFFFF"/>
        <rFont val="Arial Narrow"/>
        <family val="2"/>
        <charset val="1"/>
      </rPr>
      <t>kWh)</t>
    </r>
  </si>
  <si>
    <t>ELECTRICITAT VEHICLES ELÈCTRICS I/O HÍBRIDS ENDOLLABLES</t>
  </si>
  <si>
    <r>
      <t xml:space="preserve">En cas de realitzar-se recàrregues de </t>
    </r>
    <r>
      <rPr>
        <b/>
        <sz val="11"/>
        <color rgb="FF1F497D"/>
        <rFont val="Arial Narrow"/>
        <family val="2"/>
      </rPr>
      <t>cotxes elèctrics</t>
    </r>
    <r>
      <rPr>
        <sz val="11"/>
        <color rgb="FF1F497D"/>
        <rFont val="Arial Narrow"/>
        <family val="2"/>
        <charset val="1"/>
      </rPr>
      <t xml:space="preserve"> o </t>
    </r>
    <r>
      <rPr>
        <b/>
        <sz val="11"/>
        <color rgb="FF1F497D"/>
        <rFont val="Arial Narrow"/>
        <family val="2"/>
      </rPr>
      <t>híbrids endollables</t>
    </r>
    <r>
      <rPr>
        <sz val="11"/>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1"/>
        <color rgb="FF1F497D"/>
        <rFont val="Arial Narrow"/>
        <family val="2"/>
      </rPr>
      <t>lloc de treball</t>
    </r>
    <r>
      <rPr>
        <sz val="11"/>
        <color rgb="FF1F497D"/>
        <rFont val="Arial Narrow"/>
        <family val="2"/>
        <charset val="1"/>
      </rPr>
      <t xml:space="preserve"> poden donar-se dues circumstàncies:</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</si>
  <si>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</si>
  <si>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 xml:space="preserve">                                           ABAST 2: ELECTRICITAT ESPANYA</t>
  </si>
  <si>
    <r>
      <t xml:space="preserve">En el següent quadre haurà de reflectir si l'electricitat contractada disposa de </t>
    </r>
    <r>
      <rPr>
        <b/>
        <sz val="11"/>
        <color rgb="FF1F497D"/>
        <rFont val="Arial Narrow"/>
        <family val="2"/>
      </rPr>
      <t>certificat de Garantia d'Origen (GdO) de l'electricitat que podran ser de dos tipus: GdO de l'electricitat procedent de fonts d'energia renovable o GdO de l'electricitat procedent de sistemes de cogeneració d'alta eficiència.</t>
    </r>
    <r>
      <rPr>
        <sz val="11"/>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</si>
  <si>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</si>
  <si>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</si>
  <si>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</si>
  <si>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GdO energia renovable</t>
  </si>
  <si>
    <t>GdO cogeneració d'alta eficiència</t>
  </si>
  <si>
    <t>Emplenar de manera addicional en cas que l'organització disposi d'instal·lacions per a la generació d'energia renovable (panells fotovoltaics, turbines de vent, calderes de biomassa, etc.) ja sigui per a la seva venda o per a autoconsum.</t>
  </si>
  <si>
    <t xml:space="preserve">                                          INFORMACIÓ ADDICIONAL - INSTAL·LACIONS PRÒPIES D'ENERGIA RENOVABLE</t>
  </si>
  <si>
    <t>ENERGIES RENOVABLES</t>
  </si>
  <si>
    <t>ENERGIES RENOVABLES: BIOMASSA</t>
  </si>
  <si>
    <t>En cas d'utilitzar biomassa com a combustible, emplenar el següent quadre:</t>
  </si>
  <si>
    <t>Tipus d'Energia Renovable</t>
  </si>
  <si>
    <t>Quantitat total
Illes Balears (kWh)</t>
  </si>
  <si>
    <r>
      <t>Emissions
(kg CO</t>
    </r>
    <r>
      <rPr>
        <b/>
        <vertAlign val="subscript"/>
        <sz val="12"/>
        <color rgb="FFFFFFFF"/>
        <rFont val="Arial Narrow"/>
        <family val="2"/>
        <charset val="1"/>
      </rPr>
      <t>2</t>
    </r>
    <r>
      <rPr>
        <b/>
        <sz val="12"/>
        <color rgb="FFFFFFFF"/>
        <rFont val="Arial Narrow"/>
        <family val="2"/>
        <charset val="1"/>
      </rPr>
      <t>)</t>
    </r>
  </si>
  <si>
    <t>Quantitat total
(kWh)</t>
  </si>
  <si>
    <t>Biomàssica</t>
  </si>
  <si>
    <t>Eolica</t>
  </si>
  <si>
    <t>Geotèrmica</t>
  </si>
  <si>
    <t>Fusta</t>
  </si>
  <si>
    <t>Pellet</t>
  </si>
  <si>
    <t>Residus agrícoles</t>
  </si>
  <si>
    <t>Residus de fusta</t>
  </si>
  <si>
    <t>Estelles</t>
  </si>
  <si>
    <t>Hulla vegetal</t>
  </si>
  <si>
    <t>Tipus de 
biomassa</t>
  </si>
  <si>
    <t>Quantitats parcials
(kg)</t>
  </si>
  <si>
    <t>Quantitat total 
Illes Balears (kg)</t>
  </si>
  <si>
    <t>Quantitat total 
(kg)</t>
  </si>
  <si>
    <t>Quantitats parcials
Illes Balears (kg)</t>
  </si>
  <si>
    <t>Nom de l'organització</t>
  </si>
  <si>
    <t>Sector d'activitat</t>
  </si>
  <si>
    <t>RESULTATS ABSOLUTS ANY DE CÀLCUL</t>
  </si>
  <si>
    <t xml:space="preserve">                                          INFORME FINAL: RESULTATS REGISTRE ILLES BALEARS</t>
  </si>
  <si>
    <t>Any  de càlcul</t>
  </si>
  <si>
    <t>ABAST 1</t>
  </si>
  <si>
    <t>ABAST 2</t>
  </si>
  <si>
    <t>ABAST 1+2</t>
  </si>
  <si>
    <r>
      <t>Resultats en kgCO</t>
    </r>
    <r>
      <rPr>
        <b/>
        <i/>
        <vertAlign val="subscript"/>
        <sz val="13"/>
        <color rgb="FF000000"/>
        <rFont val="Arial Narrow"/>
        <family val="2"/>
        <charset val="1"/>
      </rPr>
      <t>2</t>
    </r>
    <r>
      <rPr>
        <b/>
        <i/>
        <sz val="13"/>
        <color rgb="FF000000"/>
        <rFont val="Arial Narrow"/>
        <family val="2"/>
        <charset val="1"/>
      </rPr>
      <t xml:space="preserve"> desglossats segons activitats</t>
    </r>
  </si>
  <si>
    <t>TOTAL ABAST 1</t>
  </si>
  <si>
    <t>Electricitat</t>
  </si>
  <si>
    <t>Desplaçaments en vehicles*</t>
  </si>
  <si>
    <t>Emissions de procés</t>
  </si>
  <si>
    <t>Instal·lacions fixes</t>
  </si>
  <si>
    <t>* S'exclou el transport a través de vehicles propulsats amb electricitat que s'inclou a l'abast 2.</t>
  </si>
  <si>
    <t>RESULTATS RELATIUS A L'ABAST 1+2 - EVOLUCIÓ</t>
  </si>
  <si>
    <t xml:space="preserve">ANY DE
 CÀLCUL:    </t>
  </si>
  <si>
    <t>ANY 1:</t>
  </si>
  <si>
    <t>ANY 2:</t>
  </si>
  <si>
    <t>ANY 3:</t>
  </si>
  <si>
    <t>treballador</t>
  </si>
  <si>
    <t>Abast 2</t>
  </si>
  <si>
    <t>Abast 1</t>
  </si>
  <si>
    <t>Procés</t>
  </si>
  <si>
    <t>Fluorats</t>
  </si>
  <si>
    <t>Transport</t>
  </si>
  <si>
    <t>Desplaçaments vehicles</t>
  </si>
  <si>
    <t>Emissions procés</t>
  </si>
  <si>
    <t xml:space="preserve">                                          INFORME FINAL: RESULTATS REGISTRE ESPANYA</t>
  </si>
  <si>
    <t>Edifici / Seu al que està
associat el vehicle</t>
  </si>
  <si>
    <t>emisiones2</t>
  </si>
  <si>
    <t>emissions2</t>
  </si>
  <si>
    <t>emisiones1</t>
  </si>
  <si>
    <t>emissions1</t>
  </si>
  <si>
    <t>Edifici / Seu associat al vehicle</t>
  </si>
  <si>
    <t>Vehicles combustió</t>
  </si>
  <si>
    <t>* Les emissions degudes al consum de vehicles elèctrics / híbrids endollables s'inclouen a l'Abast 2 - Electricitat</t>
  </si>
  <si>
    <t>* S'exclouen les emissions dels vehicles.</t>
  </si>
  <si>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D'ABAST 1+2 PER ORGANITZACIONS 2020 dissenyada per calcular les emissions de gasos d’efecte hivernacle (GEH) associades a les activitats d’una organització, empresa o administració, tant les emissions directes (Abast 1) com les emissions indirectes degudes al consum d’electricitat (Abast 2) seguint la metodologia i procediment de càlcul basat en la norma UNE-EN ISO 14064-1.
Aquesta calculadora s’ha elaborat a partir de la Calculadora de huella de carbono de organización – Alcance 1+2 publicada pel Ministeri per a la Transició Ecològica i el Repte Demogràfic (MITERD) a la seva pàgina web en la versió V.22 d’abril de 2021 i serveix a l’usuari per obtenir simultàniament les dades de càlcul requerides tant al registre balear com al registre estatal.</t>
  </si>
  <si>
    <r>
      <t>En el següent quadre haurà de reflectir si l'electricitat contractada disposa de</t>
    </r>
    <r>
      <rPr>
        <b/>
        <sz val="11"/>
        <color rgb="FF1F497D"/>
        <rFont val="Arial Narrow"/>
        <family val="2"/>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</si>
  <si>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t>¿Disposa de Garantia d'Origen renovable (GdO) amb procedència d'instal·lacions situades a les Illes Balears?</t>
  </si>
  <si>
    <t>Indiqui a continuació els edificis/centres de treball a on la seva organització desenvolupa les seves activitats.</t>
  </si>
  <si>
    <t>Nom de l'edifici o centre de treball</t>
  </si>
  <si>
    <t>Està ubicat a les Illes Balears?</t>
  </si>
  <si>
    <t>num</t>
  </si>
  <si>
    <t>edifici</t>
  </si>
  <si>
    <t>treb</t>
  </si>
  <si>
    <t>sup</t>
  </si>
  <si>
    <t>ABAST 2
Electricitat</t>
  </si>
  <si>
    <r>
      <t>RESULTATS PER EDIFICI / SEU * (unitats en t CO</t>
    </r>
    <r>
      <rPr>
        <b/>
        <vertAlign val="subscript"/>
        <sz val="12"/>
        <color rgb="FFFFFFFF"/>
        <rFont val="Arial Narrow"/>
        <family val="2"/>
      </rPr>
      <t>2</t>
    </r>
    <r>
      <rPr>
        <b/>
        <sz val="12"/>
        <color rgb="FFFFFFFF"/>
        <rFont val="Arial Narrow"/>
        <family val="2"/>
        <charset val="1"/>
      </rPr>
      <t xml:space="preserve"> eq)</t>
    </r>
  </si>
  <si>
    <t>Emissions totals
a les Illes Balears
(kg CO2eq)</t>
  </si>
  <si>
    <t>Emissions totals
(kg CO2eq)</t>
  </si>
  <si>
    <r>
      <t>Resultats en kgCO</t>
    </r>
    <r>
      <rPr>
        <b/>
        <i/>
        <vertAlign val="subscript"/>
        <sz val="13"/>
        <color theme="1"/>
        <rFont val="Arial Narrow"/>
        <family val="2"/>
        <charset val="1"/>
      </rPr>
      <t>2</t>
    </r>
    <r>
      <rPr>
        <b/>
        <i/>
        <sz val="13"/>
        <color theme="1"/>
        <rFont val="Arial Narrow"/>
        <family val="2"/>
        <charset val="1"/>
      </rPr>
      <t xml:space="preserve"> desglossats segons activitats</t>
    </r>
  </si>
  <si>
    <r>
      <t>Resultats en tCO</t>
    </r>
    <r>
      <rPr>
        <b/>
        <i/>
        <vertAlign val="subscript"/>
        <sz val="13"/>
        <color rgb="FF0070C0"/>
        <rFont val="Arial Narrow"/>
        <family val="2"/>
        <charset val="1"/>
      </rPr>
      <t>2</t>
    </r>
    <r>
      <rPr>
        <b/>
        <i/>
        <sz val="13"/>
        <color rgb="FF0070C0"/>
        <rFont val="Arial Narrow"/>
        <family val="2"/>
        <charset val="1"/>
      </rPr>
      <t>eq</t>
    </r>
  </si>
  <si>
    <t>RESULTATS PER EDIFICI / SEU * (unitats en t CO2 eq)</t>
  </si>
  <si>
    <t>Grup empresarial</t>
  </si>
  <si>
    <t>Nom de la societat a la que està associat</t>
  </si>
  <si>
    <t>És la societat principal del grup empresarial?</t>
  </si>
  <si>
    <t>empresa</t>
  </si>
  <si>
    <t>princ</t>
  </si>
  <si>
    <t>Energia generada a les Illes Balears (kWh)</t>
  </si>
  <si>
    <t>Energia generada (kWh)</t>
  </si>
  <si>
    <t>Hidràulica</t>
  </si>
  <si>
    <t>CEPSA COMERCIAL PETRÓLEO, S.A.U.</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</si>
</sst>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 #,##0.00&quot;    &quot;;\-* #,##0.00&quot;    &quot;;* \-#&quot;    &quot;;@\ "/>
    <numFmt numFmtId="165" formatCode="#,##0.0"/>
    <numFmt numFmtId="166" formatCode="0.000"/>
    <numFmt numFmtId="167" formatCode="0.0"/>
    <numFmt numFmtId="168" formatCode="#,##0.0000"/>
    <numFmt numFmtId="169" formatCode="0.00\ %"/>
    <numFmt numFmtId="170" formatCode="0.0%"/>
    <numFmt numFmtId="171" formatCode="#,##0.000"/>
    <numFmt numFmtId="172" formatCode="0.0000"/>
    <numFmt numFmtId="173" formatCode="0.000E+00"/>
  </numFmts>
  <fonts count="134"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b/>
      <sz val="14"/>
      <color rgb="FF000000"/>
      <name val="Arial Narrow"/>
      <family val="2"/>
      <charset val="1"/>
    </font>
    <font>
      <sz val="11"/>
      <color rgb="FF0066CC"/>
      <name val="Arial Narrow"/>
      <family val="2"/>
      <charset val="1"/>
    </font>
    <font>
      <i/>
      <sz val="11"/>
      <color rgb="FF000000"/>
      <name val="Calibri"/>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vertAlign val="subscript"/>
      <sz val="11"/>
      <color rgb="FF000000"/>
      <name val="Arial Narrow"/>
      <family val="2"/>
      <charset val="1"/>
    </font>
    <font>
      <b/>
      <sz val="10"/>
      <color rgb="FF808080"/>
      <name val="Calibri"/>
      <family val="2"/>
      <charset val="1"/>
    </font>
    <font>
      <sz val="10"/>
      <name val="Arial Narrow"/>
      <family val="2"/>
      <charset val="1"/>
    </font>
    <font>
      <b/>
      <sz val="11"/>
      <name val="Arial Narrow"/>
      <family val="2"/>
      <charset val="1"/>
    </font>
    <font>
      <b/>
      <sz val="12"/>
      <color rgb="FFFFFFFF"/>
      <name val="Arial Narrow"/>
      <family val="2"/>
      <charset val="1"/>
    </font>
    <font>
      <b/>
      <sz val="14"/>
      <name val="Arial Narrow"/>
      <family val="2"/>
      <charset val="1"/>
    </font>
    <font>
      <b/>
      <vertAlign val="subscript"/>
      <sz val="14"/>
      <color rgb="FF000000"/>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1"/>
      <color rgb="FF0066CC"/>
      <name val="Calibri"/>
      <family val="2"/>
      <charset val="1"/>
    </font>
    <font>
      <b/>
      <vertAlign val="superscript"/>
      <sz val="11"/>
      <color rgb="FFFFFFFF"/>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b/>
      <sz val="10"/>
      <color rgb="FF0000FF"/>
      <name val="Arial Narrow"/>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1"/>
      <color rgb="FFF60000"/>
      <name val="Arial Narrow"/>
      <family val="2"/>
      <charset val="1"/>
    </font>
    <font>
      <sz val="18"/>
      <color rgb="FF000000"/>
      <name val="Calibri"/>
      <family val="2"/>
      <charset val="1"/>
    </font>
    <font>
      <sz val="18"/>
      <color rgb="FF993300"/>
      <name val="Arial Narrow"/>
      <family val="2"/>
      <charset val="1"/>
    </font>
    <font>
      <b/>
      <sz val="10"/>
      <color rgb="FF000000"/>
      <name val="Arial Narrow"/>
      <family val="2"/>
      <charset val="1"/>
    </font>
    <font>
      <u/>
      <sz val="11"/>
      <color rgb="FF808080"/>
      <name val="Calibri"/>
      <family val="2"/>
      <charset val="1"/>
    </font>
    <font>
      <u/>
      <sz val="11"/>
      <color rgb="FFCCFFFF"/>
      <name val="Calibri"/>
      <family val="2"/>
      <charset val="1"/>
    </font>
    <font>
      <b/>
      <sz val="10"/>
      <color rgb="FFCCFFFF"/>
      <name val="Arial Narrow"/>
      <family val="2"/>
      <charset val="1"/>
    </font>
    <font>
      <b/>
      <vertAlign val="subscript"/>
      <sz val="12"/>
      <color rgb="FFFFFFFF"/>
      <name val="Arial Narrow"/>
      <family val="2"/>
      <charset val="1"/>
    </font>
    <font>
      <b/>
      <sz val="10"/>
      <color rgb="FFC0C0C0"/>
      <name val="Arial Narrow"/>
      <family val="2"/>
      <charset val="1"/>
    </font>
    <font>
      <b/>
      <i/>
      <sz val="13"/>
      <color rgb="FF0070C0"/>
      <name val="Arial Narrow"/>
      <family val="2"/>
      <charset val="1"/>
    </font>
    <font>
      <b/>
      <i/>
      <vertAlign val="subscript"/>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1"/>
      <color rgb="FF000000"/>
      <name val="Arial Narrow"/>
      <family val="2"/>
      <charset val="1"/>
    </font>
    <font>
      <b/>
      <i/>
      <sz val="13"/>
      <color rgb="FF000000"/>
      <name val="Arial Narrow"/>
      <family val="2"/>
      <charset val="1"/>
    </font>
    <font>
      <b/>
      <i/>
      <vertAlign val="subscript"/>
      <sz val="13"/>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vertAlign val="superscript"/>
      <sz val="10"/>
      <color rgb="FFFFFFFF"/>
      <name val="Arial Narrow"/>
      <family val="2"/>
      <charset val="1"/>
    </font>
    <font>
      <b/>
      <sz val="10"/>
      <color rgb="FF99CC00"/>
      <name val="Arial Narrow"/>
      <family val="2"/>
      <charset val="1"/>
    </font>
    <font>
      <sz val="10"/>
      <color rgb="FF99CC00"/>
      <name val="Arial Narrow"/>
      <family val="2"/>
      <charset val="1"/>
    </font>
    <font>
      <b/>
      <sz val="14"/>
      <color rgb="FF808080"/>
      <name val="Arial Narrow"/>
      <family val="2"/>
      <charset val="1"/>
    </font>
    <font>
      <b/>
      <vertAlign val="superscript"/>
      <sz val="10"/>
      <color rgb="FF000000"/>
      <name val="Arial Narrow"/>
      <family val="2"/>
      <charset val="1"/>
    </font>
    <font>
      <b/>
      <sz val="12"/>
      <color rgb="FF1F497D"/>
      <name val="Arial Narrow"/>
      <family val="2"/>
      <charset val="1"/>
    </font>
    <font>
      <b/>
      <sz val="14"/>
      <color rgb="FFCCFFFF"/>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sz val="11"/>
      <color rgb="FFFFFFFF"/>
      <name val="Arial Narrow"/>
      <family val="2"/>
      <charset val="1"/>
    </font>
    <font>
      <b/>
      <sz val="12"/>
      <name val="Arial Narrow"/>
      <family val="2"/>
      <charset val="1"/>
    </font>
    <font>
      <b/>
      <vertAlign val="subscript"/>
      <sz val="11"/>
      <name val="Arial Narrow"/>
      <family val="2"/>
      <charset val="1"/>
    </font>
    <font>
      <b/>
      <vertAlign val="subscript"/>
      <sz val="10"/>
      <name val="Arial Narrow"/>
      <family val="2"/>
      <charset val="1"/>
    </font>
    <font>
      <b/>
      <vertAlign val="superscript"/>
      <sz val="10"/>
      <name val="Arial Narrow"/>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11"/>
      <color rgb="FF000000"/>
      <name val="Arial"/>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b/>
      <sz val="11"/>
      <name val="Calibri"/>
      <family val="2"/>
      <charset val="1"/>
    </font>
    <font>
      <sz val="9"/>
      <color rgb="FF000000"/>
      <name val="Tahoma"/>
      <family val="2"/>
      <charset val="1"/>
    </font>
    <font>
      <sz val="11"/>
      <color rgb="FF000000"/>
      <name val="Calibri"/>
      <family val="2"/>
      <charset val="1"/>
    </font>
    <font>
      <b/>
      <sz val="11"/>
      <color theme="0"/>
      <name val="Arial Narrow"/>
      <family val="2"/>
    </font>
    <font>
      <sz val="11"/>
      <color rgb="FF000000"/>
      <name val="Arial Narrow"/>
      <family val="2"/>
    </font>
    <font>
      <sz val="10"/>
      <name val="Arial Narrow"/>
      <family val="2"/>
    </font>
    <font>
      <b/>
      <sz val="11"/>
      <color rgb="FFFFFFFF"/>
      <name val="Arial Narrow"/>
      <family val="2"/>
    </font>
    <font>
      <sz val="10"/>
      <color rgb="FF000000"/>
      <name val="Arial Narrow"/>
      <family val="2"/>
    </font>
    <font>
      <b/>
      <sz val="10"/>
      <color rgb="FF000000"/>
      <name val="Arial Narrow"/>
      <family val="2"/>
    </font>
    <font>
      <b/>
      <sz val="11"/>
      <color rgb="FF000000"/>
      <name val="Calibri"/>
      <family val="2"/>
    </font>
    <font>
      <b/>
      <sz val="10"/>
      <name val="Arial Narrow"/>
      <family val="2"/>
    </font>
    <font>
      <b/>
      <sz val="11"/>
      <name val="Arial Narrow"/>
      <family val="2"/>
    </font>
    <font>
      <b/>
      <vertAlign val="subscript"/>
      <sz val="10"/>
      <color rgb="FFFFFFFF"/>
      <name val="Arial Narrow"/>
      <family val="2"/>
    </font>
    <font>
      <b/>
      <sz val="10"/>
      <color rgb="FFFFFFFF"/>
      <name val="Arial Narrow"/>
      <family val="2"/>
    </font>
    <font>
      <b/>
      <sz val="9"/>
      <color rgb="FFFFFFFF"/>
      <name val="Arial Narrow"/>
      <family val="2"/>
    </font>
    <font>
      <vertAlign val="subscript"/>
      <sz val="11"/>
      <color rgb="FF000000"/>
      <name val="Calibri"/>
      <family val="2"/>
    </font>
    <font>
      <b/>
      <sz val="11"/>
      <color rgb="FF1F497D"/>
      <name val="Arial Narrow"/>
      <family val="2"/>
    </font>
    <font>
      <sz val="11"/>
      <name val="Arial Narrow"/>
      <family val="2"/>
    </font>
    <font>
      <b/>
      <vertAlign val="subscript"/>
      <sz val="12"/>
      <color rgb="FFFFFFFF"/>
      <name val="Arial Narrow"/>
      <family val="2"/>
    </font>
    <font>
      <b/>
      <i/>
      <sz val="13"/>
      <color theme="1"/>
      <name val="Arial Narrow"/>
      <family val="2"/>
      <charset val="1"/>
    </font>
    <font>
      <b/>
      <i/>
      <vertAlign val="subscript"/>
      <sz val="13"/>
      <color theme="1"/>
      <name val="Arial Narrow"/>
      <family val="2"/>
      <charset val="1"/>
    </font>
  </fonts>
  <fills count="43">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2A6099"/>
        <bgColor rgb="FF376092"/>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CCCCCC"/>
        <bgColor rgb="FFCCC4D9"/>
      </patternFill>
    </fill>
    <fill>
      <patternFill patternType="solid">
        <fgColor rgb="FFFFFF00"/>
        <bgColor rgb="FFFFF200"/>
      </patternFill>
    </fill>
    <fill>
      <patternFill patternType="solid">
        <fgColor rgb="FFDDDDDD"/>
        <bgColor rgb="FFDEDCE6"/>
      </patternFill>
    </fill>
    <fill>
      <patternFill patternType="solid">
        <fgColor rgb="FFCCC4D9"/>
        <bgColor rgb="FFCCCCCC"/>
      </patternFill>
    </fill>
    <fill>
      <patternFill patternType="solid">
        <fgColor rgb="FFD9D9D9"/>
        <bgColor rgb="FFDDDDDD"/>
      </patternFill>
    </fill>
    <fill>
      <patternFill patternType="solid">
        <fgColor rgb="FFF2F2F2"/>
        <bgColor rgb="FFEBF1DE"/>
      </patternFill>
    </fill>
    <fill>
      <patternFill patternType="solid">
        <fgColor rgb="FFF79646"/>
        <bgColor rgb="FFFF8000"/>
      </patternFill>
    </fill>
    <fill>
      <patternFill patternType="solid">
        <fgColor rgb="FFFFF200"/>
        <bgColor rgb="FFFFFF00"/>
      </patternFill>
    </fill>
    <fill>
      <patternFill patternType="solid">
        <fgColor rgb="FFA73403"/>
        <bgColor rgb="FF4D4D4D"/>
      </patternFill>
    </fill>
    <fill>
      <patternFill patternType="solid">
        <fgColor rgb="FF00B050"/>
        <bgColor rgb="FF0070C0"/>
      </patternFill>
    </fill>
    <fill>
      <patternFill patternType="solid">
        <fgColor rgb="FFEBF1DE"/>
        <bgColor rgb="FFF2F2F2"/>
      </patternFill>
    </fill>
    <fill>
      <patternFill patternType="solid">
        <fgColor rgb="FFFFC000"/>
        <bgColor rgb="FFFFF200"/>
      </patternFill>
    </fill>
    <fill>
      <patternFill patternType="solid">
        <fgColor rgb="FFDDD9C3"/>
        <bgColor rgb="FFD9D9D9"/>
      </patternFill>
    </fill>
    <fill>
      <patternFill patternType="solid">
        <fgColor rgb="FFDCE6F2"/>
        <bgColor rgb="FFDEE6EF"/>
      </patternFill>
    </fill>
    <fill>
      <patternFill patternType="solid">
        <fgColor rgb="FFFEFCD8"/>
        <bgColor rgb="FFF6F9D4"/>
      </patternFill>
    </fill>
    <fill>
      <patternFill patternType="solid">
        <fgColor rgb="FFFF0000"/>
        <bgColor rgb="FFF60000"/>
      </patternFill>
    </fill>
    <fill>
      <patternFill patternType="solid">
        <fgColor rgb="FF81D41A"/>
        <bgColor rgb="FF99CC00"/>
      </patternFill>
    </fill>
    <fill>
      <patternFill patternType="solid">
        <fgColor rgb="FFFF8000"/>
        <bgColor rgb="FFF79646"/>
      </patternFill>
    </fill>
    <fill>
      <patternFill patternType="solid">
        <fgColor rgb="FFFFD7D7"/>
        <bgColor rgb="FFFBE5D6"/>
      </patternFill>
    </fill>
    <fill>
      <patternFill patternType="solid">
        <fgColor rgb="FFDEE6EF"/>
        <bgColor rgb="FFDCE6F2"/>
      </patternFill>
    </fill>
    <fill>
      <patternFill patternType="solid">
        <fgColor rgb="FFF6F9D4"/>
        <bgColor rgb="FFFEFCD8"/>
      </patternFill>
    </fill>
    <fill>
      <patternFill patternType="solid">
        <fgColor rgb="FFFFDBB6"/>
        <bgColor rgb="FFFCD5B5"/>
      </patternFill>
    </fill>
    <fill>
      <patternFill patternType="solid">
        <fgColor rgb="FFC2829E"/>
        <bgColor rgb="FFF2F2F2"/>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FF00"/>
        <bgColor rgb="FFDEDCE6"/>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s>
  <borders count="4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FFFFFF"/>
      </left>
      <right style="thin">
        <color rgb="FFFFFFFF"/>
      </right>
      <top style="thin">
        <color rgb="FFFFFFFF"/>
      </top>
      <bottom style="thin">
        <color rgb="FFFFFFFF"/>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hair">
        <color auto="1"/>
      </top>
      <bottom style="thin">
        <color rgb="FF808080"/>
      </bottom>
      <diagonal/>
    </border>
    <border>
      <left/>
      <right style="thin">
        <color rgb="FF808080"/>
      </right>
      <top/>
      <bottom style="thin">
        <color rgb="FF808080"/>
      </bottom>
      <diagonal/>
    </border>
    <border>
      <left style="thin">
        <color rgb="FF808080"/>
      </left>
      <right/>
      <top/>
      <bottom style="thin">
        <color rgb="FF808080"/>
      </bottom>
      <diagonal/>
    </border>
    <border>
      <left/>
      <right style="thin">
        <color rgb="FFFFFFFF"/>
      </right>
      <top/>
      <bottom/>
      <diagonal/>
    </border>
    <border>
      <left style="thin">
        <color rgb="FF1F497D"/>
      </left>
      <right style="thin">
        <color rgb="FF1F497D"/>
      </right>
      <top style="thin">
        <color rgb="FF1F497D"/>
      </top>
      <bottom style="thin">
        <color rgb="FF1F497D"/>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right style="thin">
        <color rgb="FFC0C0C0"/>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rgb="FF808080"/>
      </left>
      <right style="thin">
        <color rgb="FF969696"/>
      </right>
      <top style="thin">
        <color rgb="FF969696"/>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FFFFFF"/>
      </left>
      <right/>
      <top/>
      <bottom style="thin">
        <color rgb="FFFFFFFF"/>
      </bottom>
      <diagonal/>
    </border>
    <border>
      <left style="thin">
        <color rgb="FFFFFFFF"/>
      </left>
      <right style="thin">
        <color rgb="FF808080"/>
      </right>
      <top/>
      <bottom style="thin">
        <color rgb="FF80808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hair">
        <color auto="1"/>
      </left>
      <right style="hair">
        <color auto="1"/>
      </right>
      <top style="hair">
        <color auto="1"/>
      </top>
      <bottom style="hair">
        <color auto="1"/>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s>
  <cellStyleXfs count="13">
    <xf numFmtId="0" fontId="0" fillId="0" borderId="0"/>
    <xf numFmtId="0" fontId="14" fillId="0" borderId="0" applyBorder="0" applyProtection="0"/>
    <xf numFmtId="0" fontId="1" fillId="2" borderId="1" applyProtection="0"/>
    <xf numFmtId="0" fontId="2" fillId="3" borderId="1" applyProtection="0"/>
    <xf numFmtId="164" fontId="115" fillId="0" borderId="0" applyBorder="0" applyProtection="0"/>
    <xf numFmtId="164" fontId="115" fillId="0" borderId="0" applyBorder="0" applyProtection="0"/>
    <xf numFmtId="164" fontId="115" fillId="0" borderId="0" applyBorder="0" applyProtection="0"/>
    <xf numFmtId="164" fontId="115" fillId="0" borderId="0" applyBorder="0" applyProtection="0"/>
    <xf numFmtId="0" fontId="3" fillId="0" borderId="0"/>
    <xf numFmtId="0" fontId="4" fillId="0" borderId="0"/>
    <xf numFmtId="0" fontId="3" fillId="0" borderId="0"/>
    <xf numFmtId="0" fontId="4" fillId="0" borderId="0"/>
    <xf numFmtId="0" fontId="5" fillId="0" borderId="0"/>
  </cellStyleXfs>
  <cellXfs count="554">
    <xf numFmtId="0" fontId="0" fillId="0" borderId="0" xfId="0"/>
    <xf numFmtId="0" fontId="21" fillId="9" borderId="1" xfId="0" applyFont="1" applyFill="1" applyBorder="1" applyAlignment="1" applyProtection="1">
      <alignment horizontal="center" vertical="center" wrapText="1"/>
    </xf>
    <xf numFmtId="0" fontId="6" fillId="4" borderId="0" xfId="0" applyFont="1" applyFill="1" applyBorder="1" applyProtection="1"/>
    <xf numFmtId="0" fontId="9" fillId="4" borderId="0" xfId="0" applyFont="1" applyFill="1" applyBorder="1" applyAlignment="1" applyProtection="1">
      <alignment vertical="center" wrapText="1"/>
    </xf>
    <xf numFmtId="0" fontId="10" fillId="4" borderId="0" xfId="0" applyFont="1" applyFill="1" applyBorder="1" applyAlignment="1" applyProtection="1"/>
    <xf numFmtId="0" fontId="0" fillId="4" borderId="0" xfId="0" applyFill="1"/>
    <xf numFmtId="0" fontId="10" fillId="4" borderId="0" xfId="0" applyFont="1" applyFill="1" applyBorder="1" applyAlignment="1" applyProtection="1">
      <alignment vertical="center"/>
    </xf>
    <xf numFmtId="0" fontId="12" fillId="4" borderId="0" xfId="0" applyFont="1" applyFill="1" applyBorder="1" applyProtection="1"/>
    <xf numFmtId="0" fontId="13" fillId="4" borderId="0" xfId="0" applyFont="1" applyFill="1" applyBorder="1" applyProtection="1"/>
    <xf numFmtId="0" fontId="13" fillId="4" borderId="0" xfId="1" applyFont="1" applyFill="1" applyBorder="1" applyAlignment="1" applyProtection="1"/>
    <xf numFmtId="0" fontId="15" fillId="4" borderId="0" xfId="0" applyFont="1" applyFill="1" applyBorder="1" applyAlignment="1" applyProtection="1">
      <alignment vertical="center" wrapText="1"/>
    </xf>
    <xf numFmtId="0" fontId="16" fillId="4" borderId="0" xfId="0" applyFont="1" applyFill="1" applyBorder="1" applyProtection="1"/>
    <xf numFmtId="0" fontId="17" fillId="4" borderId="0" xfId="0" applyFont="1" applyFill="1"/>
    <xf numFmtId="0" fontId="0" fillId="4" borderId="0" xfId="0" applyFill="1" applyBorder="1" applyProtection="1"/>
    <xf numFmtId="0" fontId="18" fillId="4" borderId="0" xfId="1" applyFont="1" applyFill="1" applyBorder="1" applyAlignment="1" applyProtection="1">
      <alignment vertical="center"/>
    </xf>
    <xf numFmtId="0" fontId="19" fillId="8"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1" applyFont="1" applyFill="1" applyBorder="1" applyAlignment="1" applyProtection="1">
      <alignment vertical="center"/>
    </xf>
    <xf numFmtId="0" fontId="23" fillId="4" borderId="0" xfId="1" applyFont="1" applyFill="1" applyBorder="1" applyAlignment="1" applyProtection="1">
      <alignment horizontal="left" vertical="center"/>
    </xf>
    <xf numFmtId="0" fontId="21" fillId="9" borderId="1" xfId="0" applyFont="1" applyFill="1" applyBorder="1" applyAlignment="1" applyProtection="1">
      <alignment horizontal="center" vertical="center"/>
    </xf>
    <xf numFmtId="0" fontId="24" fillId="4" borderId="0" xfId="0" applyFont="1" applyFill="1" applyBorder="1" applyProtection="1"/>
    <xf numFmtId="0" fontId="25" fillId="4" borderId="0" xfId="0" applyFont="1" applyFill="1" applyBorder="1" applyAlignment="1" applyProtection="1">
      <alignment vertical="center" wrapText="1"/>
    </xf>
    <xf numFmtId="0" fontId="20" fillId="4" borderId="0" xfId="0" applyFont="1" applyFill="1" applyBorder="1" applyProtection="1"/>
    <xf numFmtId="0" fontId="21" fillId="9" borderId="6" xfId="0" applyFont="1" applyFill="1" applyBorder="1" applyAlignment="1" applyProtection="1">
      <alignment horizontal="center" vertical="center" wrapText="1"/>
    </xf>
    <xf numFmtId="0" fontId="6" fillId="4" borderId="3" xfId="0" applyFont="1" applyFill="1" applyBorder="1" applyAlignment="1" applyProtection="1">
      <alignment horizontal="left" vertical="center"/>
    </xf>
    <xf numFmtId="49" fontId="27" fillId="4" borderId="0" xfId="0" applyNumberFormat="1" applyFont="1" applyFill="1" applyBorder="1" applyAlignment="1" applyProtection="1">
      <alignment horizontal="left" vertical="center"/>
    </xf>
    <xf numFmtId="0" fontId="28" fillId="4" borderId="0" xfId="0" applyFont="1" applyFill="1" applyBorder="1" applyAlignment="1" applyProtection="1">
      <alignment horizontal="right"/>
    </xf>
    <xf numFmtId="0" fontId="29" fillId="4" borderId="0" xfId="0" applyFont="1" applyFill="1" applyBorder="1" applyAlignment="1" applyProtection="1">
      <alignment vertical="center" wrapText="1"/>
    </xf>
    <xf numFmtId="0" fontId="27" fillId="4" borderId="0" xfId="0" applyFont="1" applyFill="1" applyBorder="1" applyAlignment="1" applyProtection="1">
      <alignment horizontal="left" vertical="center"/>
    </xf>
    <xf numFmtId="0" fontId="30" fillId="9" borderId="6" xfId="0" applyFont="1" applyFill="1" applyBorder="1" applyAlignment="1" applyProtection="1">
      <alignment horizontal="center" vertical="center" wrapText="1"/>
    </xf>
    <xf numFmtId="1" fontId="31" fillId="4" borderId="3" xfId="0" applyNumberFormat="1" applyFont="1" applyFill="1" applyBorder="1" applyAlignment="1" applyProtection="1">
      <alignment horizontal="center" vertical="center"/>
    </xf>
    <xf numFmtId="4" fontId="15" fillId="4" borderId="7" xfId="0" applyNumberFormat="1" applyFont="1" applyFill="1" applyBorder="1" applyAlignment="1" applyProtection="1">
      <alignment horizontal="right" vertical="center"/>
    </xf>
    <xf numFmtId="0" fontId="15" fillId="4" borderId="3"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25" fillId="4" borderId="0" xfId="0" applyFont="1" applyFill="1" applyBorder="1" applyAlignment="1" applyProtection="1">
      <alignment horizontal="left" vertical="center" wrapText="1"/>
    </xf>
    <xf numFmtId="0" fontId="29" fillId="4" borderId="0" xfId="0" applyFont="1" applyFill="1" applyBorder="1" applyAlignment="1" applyProtection="1">
      <alignment horizontal="left" vertical="center" wrapText="1" indent="1"/>
    </xf>
    <xf numFmtId="0" fontId="34" fillId="4" borderId="0" xfId="0" applyFont="1" applyFill="1" applyBorder="1" applyProtection="1"/>
    <xf numFmtId="0" fontId="21" fillId="10" borderId="6" xfId="0" applyFont="1" applyFill="1" applyBorder="1" applyAlignment="1" applyProtection="1">
      <alignment horizontal="center" vertical="center" wrapText="1"/>
    </xf>
    <xf numFmtId="0" fontId="0" fillId="10" borderId="0" xfId="0" applyFill="1" applyBorder="1" applyProtection="1"/>
    <xf numFmtId="0" fontId="36" fillId="4" borderId="0" xfId="0" applyFont="1" applyFill="1" applyBorder="1" applyProtection="1"/>
    <xf numFmtId="0" fontId="29" fillId="4" borderId="0" xfId="0" applyFont="1" applyFill="1" applyBorder="1" applyAlignment="1" applyProtection="1">
      <alignment horizontal="center" vertical="center" wrapText="1"/>
    </xf>
    <xf numFmtId="0" fontId="35" fillId="4" borderId="0" xfId="0" applyFont="1" applyFill="1" applyBorder="1" applyProtection="1"/>
    <xf numFmtId="0" fontId="28" fillId="4" borderId="0" xfId="0" applyFont="1" applyFill="1" applyBorder="1" applyAlignment="1" applyProtection="1">
      <alignment horizontal="left" vertical="center" wrapText="1"/>
    </xf>
    <xf numFmtId="0" fontId="38" fillId="4" borderId="0" xfId="0" applyFont="1" applyFill="1" applyBorder="1" applyAlignment="1" applyProtection="1">
      <alignment horizontal="left" vertical="center" indent="15"/>
    </xf>
    <xf numFmtId="0" fontId="41" fillId="4" borderId="0" xfId="0" applyFont="1" applyFill="1" applyBorder="1" applyAlignment="1" applyProtection="1">
      <alignment vertical="center" wrapText="1"/>
    </xf>
    <xf numFmtId="0" fontId="42" fillId="4" borderId="0" xfId="0" applyFont="1" applyFill="1" applyBorder="1" applyAlignment="1" applyProtection="1">
      <alignment horizontal="right"/>
    </xf>
    <xf numFmtId="0" fontId="43" fillId="4" borderId="0" xfId="0" applyFont="1" applyFill="1" applyBorder="1" applyAlignment="1" applyProtection="1">
      <alignment vertical="center" wrapText="1"/>
    </xf>
    <xf numFmtId="0" fontId="23" fillId="4" borderId="0" xfId="0" applyFont="1" applyFill="1" applyBorder="1" applyProtection="1"/>
    <xf numFmtId="0" fontId="45" fillId="4" borderId="0" xfId="0" applyFont="1" applyFill="1" applyBorder="1" applyAlignment="1" applyProtection="1">
      <alignment vertical="center"/>
    </xf>
    <xf numFmtId="0" fontId="46" fillId="4" borderId="0" xfId="0" applyFont="1" applyFill="1" applyBorder="1" applyAlignment="1" applyProtection="1">
      <alignment horizontal="left"/>
    </xf>
    <xf numFmtId="0" fontId="28" fillId="4" borderId="0" xfId="0" applyFont="1" applyFill="1" applyBorder="1" applyAlignment="1" applyProtection="1">
      <alignment horizontal="center"/>
    </xf>
    <xf numFmtId="0" fontId="19" fillId="2" borderId="1" xfId="0" applyFont="1" applyFill="1" applyBorder="1" applyAlignment="1" applyProtection="1">
      <alignment horizontal="center" vertical="center" wrapText="1"/>
    </xf>
    <xf numFmtId="0" fontId="50"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top" wrapText="1"/>
    </xf>
    <xf numFmtId="0" fontId="19" fillId="4" borderId="1" xfId="0" applyFont="1" applyFill="1" applyBorder="1" applyAlignment="1" applyProtection="1">
      <alignment horizontal="center" vertical="center" wrapText="1"/>
    </xf>
    <xf numFmtId="0" fontId="28" fillId="4" borderId="1" xfId="0" applyFont="1" applyFill="1" applyBorder="1" applyAlignment="1" applyProtection="1">
      <alignment horizontal="center" vertical="center" wrapText="1"/>
    </xf>
    <xf numFmtId="166" fontId="28" fillId="4" borderId="1" xfId="0" applyNumberFormat="1" applyFont="1" applyFill="1" applyBorder="1" applyAlignment="1" applyProtection="1">
      <alignment horizontal="right" vertical="center" wrapText="1"/>
    </xf>
    <xf numFmtId="4" fontId="28" fillId="4" borderId="1" xfId="0" applyNumberFormat="1" applyFont="1" applyFill="1" applyBorder="1" applyAlignment="1" applyProtection="1">
      <alignment horizontal="right" vertical="center"/>
    </xf>
    <xf numFmtId="4" fontId="19" fillId="10" borderId="1" xfId="0" applyNumberFormat="1" applyFont="1" applyFill="1" applyBorder="1" applyAlignment="1" applyProtection="1">
      <alignment horizontal="right"/>
    </xf>
    <xf numFmtId="0" fontId="53" fillId="4" borderId="0" xfId="0" applyFont="1" applyFill="1" applyBorder="1" applyAlignment="1" applyProtection="1">
      <alignment horizontal="right"/>
    </xf>
    <xf numFmtId="0" fontId="28" fillId="4" borderId="0" xfId="0" applyFont="1" applyFill="1" applyBorder="1" applyAlignment="1" applyProtection="1">
      <alignment horizontal="left"/>
    </xf>
    <xf numFmtId="4" fontId="50" fillId="12" borderId="1" xfId="0" applyNumberFormat="1" applyFont="1" applyFill="1" applyBorder="1" applyAlignment="1" applyProtection="1">
      <alignment horizontal="right"/>
    </xf>
    <xf numFmtId="0" fontId="55" fillId="4" borderId="0" xfId="0" applyFont="1" applyFill="1" applyBorder="1" applyAlignment="1" applyProtection="1">
      <alignment vertical="center" wrapText="1"/>
    </xf>
    <xf numFmtId="0" fontId="28" fillId="4" borderId="11" xfId="0" applyFont="1" applyFill="1" applyBorder="1" applyAlignment="1" applyProtection="1">
      <alignment horizontal="right"/>
    </xf>
    <xf numFmtId="4" fontId="28" fillId="4" borderId="0" xfId="0" applyNumberFormat="1" applyFont="1" applyFill="1" applyBorder="1" applyAlignment="1" applyProtection="1">
      <alignment horizontal="right"/>
    </xf>
    <xf numFmtId="0" fontId="56" fillId="4" borderId="0" xfId="0" applyFont="1" applyFill="1" applyBorder="1" applyAlignment="1" applyProtection="1">
      <alignment horizontal="right" vertical="center" wrapText="1"/>
    </xf>
    <xf numFmtId="0" fontId="6" fillId="4" borderId="0" xfId="0" applyFont="1" applyFill="1" applyBorder="1" applyAlignment="1" applyProtection="1">
      <alignment horizontal="center"/>
    </xf>
    <xf numFmtId="0" fontId="25" fillId="4" borderId="0" xfId="0" applyFont="1" applyFill="1" applyBorder="1" applyAlignment="1" applyProtection="1">
      <alignment horizontal="left" wrapText="1"/>
    </xf>
    <xf numFmtId="0" fontId="57" fillId="4" borderId="0" xfId="0" applyFont="1" applyFill="1" applyBorder="1" applyAlignment="1" applyProtection="1">
      <alignment vertical="center" wrapText="1"/>
    </xf>
    <xf numFmtId="0" fontId="43" fillId="4" borderId="0" xfId="0" applyFont="1" applyFill="1" applyBorder="1" applyAlignment="1" applyProtection="1">
      <alignment horizontal="left" vertical="center" wrapText="1"/>
    </xf>
    <xf numFmtId="0" fontId="25" fillId="4" borderId="0" xfId="0" applyFont="1" applyFill="1" applyBorder="1" applyAlignment="1" applyProtection="1">
      <alignment wrapText="1"/>
    </xf>
    <xf numFmtId="0" fontId="29" fillId="4" borderId="0" xfId="0" applyFont="1" applyFill="1" applyBorder="1" applyAlignment="1" applyProtection="1">
      <alignment horizontal="left" vertical="center" wrapText="1"/>
    </xf>
    <xf numFmtId="0" fontId="45" fillId="4" borderId="0" xfId="0" applyFont="1" applyFill="1" applyBorder="1" applyAlignment="1" applyProtection="1">
      <alignment vertical="center" wrapText="1"/>
    </xf>
    <xf numFmtId="0" fontId="53" fillId="4" borderId="0" xfId="0" applyFont="1" applyFill="1" applyBorder="1" applyProtection="1"/>
    <xf numFmtId="0" fontId="35" fillId="4" borderId="1" xfId="0" applyFont="1" applyFill="1" applyBorder="1" applyProtection="1"/>
    <xf numFmtId="3" fontId="28" fillId="4" borderId="1" xfId="0" applyNumberFormat="1" applyFont="1" applyFill="1" applyBorder="1" applyAlignment="1" applyProtection="1">
      <alignment horizontal="center" vertical="center" wrapText="1"/>
    </xf>
    <xf numFmtId="4" fontId="19" fillId="10" borderId="1" xfId="0" applyNumberFormat="1" applyFont="1" applyFill="1" applyBorder="1" applyAlignment="1" applyProtection="1">
      <alignment vertical="center"/>
    </xf>
    <xf numFmtId="0" fontId="58" fillId="4" borderId="0" xfId="0" applyFont="1" applyFill="1"/>
    <xf numFmtId="0" fontId="50" fillId="4" borderId="0" xfId="0" applyFont="1" applyFill="1" applyBorder="1" applyAlignment="1" applyProtection="1">
      <alignment vertical="center" wrapText="1"/>
    </xf>
    <xf numFmtId="0" fontId="59" fillId="4" borderId="0" xfId="0" applyFont="1" applyFill="1" applyBorder="1" applyAlignment="1" applyProtection="1">
      <alignment vertical="center" wrapText="1"/>
    </xf>
    <xf numFmtId="3" fontId="23" fillId="4" borderId="0" xfId="1" applyNumberFormat="1" applyFont="1" applyFill="1" applyBorder="1" applyAlignment="1" applyProtection="1">
      <alignment vertical="center"/>
    </xf>
    <xf numFmtId="0" fontId="60" fillId="4" borderId="0" xfId="0" applyFont="1" applyFill="1"/>
    <xf numFmtId="0" fontId="35" fillId="4" borderId="0" xfId="0" applyFont="1" applyFill="1" applyBorder="1" applyAlignment="1" applyProtection="1">
      <alignment vertical="top" wrapText="1"/>
    </xf>
    <xf numFmtId="0" fontId="61" fillId="4" borderId="0" xfId="0" applyFont="1" applyFill="1" applyBorder="1" applyProtection="1"/>
    <xf numFmtId="0" fontId="41" fillId="4" borderId="0" xfId="0" applyFont="1" applyFill="1" applyBorder="1" applyProtection="1"/>
    <xf numFmtId="0" fontId="25" fillId="4" borderId="0" xfId="0" applyFont="1" applyFill="1" applyBorder="1" applyAlignment="1" applyProtection="1">
      <alignment horizontal="left" vertical="top" wrapText="1"/>
    </xf>
    <xf numFmtId="0" fontId="30" fillId="4" borderId="0" xfId="0" applyFont="1" applyFill="1" applyBorder="1" applyAlignment="1" applyProtection="1">
      <alignment horizontal="left" vertical="center"/>
    </xf>
    <xf numFmtId="0" fontId="55" fillId="4" borderId="0" xfId="0" applyFont="1" applyFill="1" applyBorder="1" applyProtection="1"/>
    <xf numFmtId="0" fontId="25" fillId="4" borderId="0" xfId="0" applyFont="1" applyFill="1" applyBorder="1" applyAlignment="1" applyProtection="1">
      <alignment vertical="top" wrapText="1"/>
    </xf>
    <xf numFmtId="0" fontId="19" fillId="4" borderId="1" xfId="0" applyFont="1" applyFill="1" applyBorder="1" applyAlignment="1" applyProtection="1">
      <alignment vertical="center" wrapText="1"/>
    </xf>
    <xf numFmtId="4" fontId="28" fillId="4" borderId="1" xfId="0" applyNumberFormat="1" applyFont="1" applyFill="1" applyBorder="1" applyAlignment="1" applyProtection="1">
      <alignment horizontal="right" vertical="center" wrapText="1"/>
    </xf>
    <xf numFmtId="4" fontId="35" fillId="4" borderId="1" xfId="0" applyNumberFormat="1" applyFont="1" applyFill="1" applyBorder="1" applyAlignment="1" applyProtection="1">
      <alignment horizontal="right" vertical="center"/>
    </xf>
    <xf numFmtId="4" fontId="19" fillId="4" borderId="0" xfId="0" applyNumberFormat="1" applyFont="1" applyFill="1" applyBorder="1" applyAlignment="1" applyProtection="1">
      <alignment horizontal="right"/>
    </xf>
    <xf numFmtId="0" fontId="56" fillId="4" borderId="0" xfId="0" applyFont="1" applyFill="1" applyBorder="1" applyAlignment="1" applyProtection="1">
      <alignment vertical="center" wrapText="1"/>
    </xf>
    <xf numFmtId="0" fontId="63" fillId="4" borderId="0" xfId="0" applyFont="1" applyFill="1" applyBorder="1" applyAlignment="1" applyProtection="1">
      <alignment horizontal="left" vertical="center" wrapText="1"/>
    </xf>
    <xf numFmtId="0" fontId="63" fillId="4" borderId="0" xfId="0" applyFont="1" applyFill="1" applyBorder="1" applyProtection="1"/>
    <xf numFmtId="0" fontId="61" fillId="4" borderId="0" xfId="0" applyFont="1" applyFill="1" applyBorder="1" applyAlignment="1" applyProtection="1">
      <alignment vertical="center" wrapText="1"/>
    </xf>
    <xf numFmtId="0" fontId="65" fillId="4" borderId="0" xfId="0" applyFont="1" applyFill="1" applyAlignment="1" applyProtection="1">
      <alignment horizontal="justify" vertical="center"/>
    </xf>
    <xf numFmtId="0" fontId="66" fillId="4" borderId="0" xfId="0" applyFont="1" applyFill="1" applyBorder="1" applyProtection="1"/>
    <xf numFmtId="0" fontId="0" fillId="4" borderId="0" xfId="0" applyFill="1" applyAlignment="1" applyProtection="1">
      <alignment horizontal="justify" vertical="center"/>
    </xf>
    <xf numFmtId="0" fontId="67" fillId="4" borderId="1" xfId="0" applyFont="1" applyFill="1" applyBorder="1" applyProtection="1"/>
    <xf numFmtId="0" fontId="46" fillId="4" borderId="0" xfId="0" applyFont="1" applyFill="1" applyBorder="1" applyAlignment="1" applyProtection="1">
      <alignment vertical="center" wrapText="1"/>
    </xf>
    <xf numFmtId="165" fontId="6" fillId="4" borderId="0" xfId="0" applyNumberFormat="1" applyFont="1" applyFill="1" applyBorder="1" applyAlignment="1" applyProtection="1">
      <alignment horizontal="center" vertical="center"/>
    </xf>
    <xf numFmtId="0" fontId="68" fillId="4" borderId="0" xfId="1" applyFont="1" applyFill="1" applyBorder="1" applyAlignment="1" applyProtection="1">
      <alignment horizontal="left" indent="1"/>
    </xf>
    <xf numFmtId="0" fontId="69" fillId="4" borderId="0" xfId="1" applyFont="1" applyFill="1" applyBorder="1" applyAlignment="1" applyProtection="1">
      <alignment horizontal="left" indent="1"/>
    </xf>
    <xf numFmtId="0" fontId="28" fillId="4" borderId="0" xfId="0" applyFont="1" applyFill="1" applyBorder="1" applyProtection="1"/>
    <xf numFmtId="167" fontId="50" fillId="14" borderId="1" xfId="0" applyNumberFormat="1" applyFont="1" applyFill="1" applyBorder="1" applyAlignment="1" applyProtection="1">
      <alignment horizontal="right"/>
    </xf>
    <xf numFmtId="2" fontId="19" fillId="10" borderId="1" xfId="0" applyNumberFormat="1" applyFont="1" applyFill="1" applyBorder="1" applyAlignment="1" applyProtection="1">
      <alignment horizontal="right"/>
    </xf>
    <xf numFmtId="0" fontId="25" fillId="4" borderId="0" xfId="0" applyFont="1" applyFill="1" applyBorder="1" applyAlignment="1" applyProtection="1">
      <alignment vertical="center"/>
    </xf>
    <xf numFmtId="0" fontId="14" fillId="4" borderId="0" xfId="1" applyFont="1" applyFill="1" applyBorder="1" applyAlignment="1" applyProtection="1">
      <alignment horizontal="left" indent="1"/>
    </xf>
    <xf numFmtId="0" fontId="22" fillId="4" borderId="0" xfId="0" applyFont="1" applyFill="1" applyBorder="1" applyAlignment="1" applyProtection="1">
      <alignment vertical="center"/>
    </xf>
    <xf numFmtId="0" fontId="50" fillId="4" borderId="0" xfId="0" applyFont="1" applyFill="1" applyBorder="1" applyAlignment="1" applyProtection="1">
      <alignment horizontal="right" vertical="center" wrapText="1"/>
    </xf>
    <xf numFmtId="0" fontId="72" fillId="4" borderId="0" xfId="1" applyFont="1" applyFill="1" applyBorder="1" applyAlignment="1" applyProtection="1">
      <alignment vertical="center"/>
    </xf>
    <xf numFmtId="0" fontId="43" fillId="4" borderId="0" xfId="0" applyFont="1" applyFill="1" applyBorder="1" applyAlignment="1" applyProtection="1">
      <alignment horizontal="right"/>
    </xf>
    <xf numFmtId="0" fontId="42" fillId="4" borderId="0" xfId="0" applyFont="1" applyFill="1" applyBorder="1" applyProtection="1"/>
    <xf numFmtId="0" fontId="75" fillId="4" borderId="0" xfId="0" applyFont="1" applyFill="1" applyBorder="1" applyAlignment="1" applyProtection="1">
      <alignment horizontal="right"/>
    </xf>
    <xf numFmtId="1" fontId="76" fillId="4" borderId="13" xfId="0" applyNumberFormat="1" applyFont="1" applyFill="1" applyBorder="1" applyAlignment="1" applyProtection="1">
      <alignment vertical="center" wrapText="1"/>
    </xf>
    <xf numFmtId="0" fontId="75" fillId="4" borderId="0" xfId="0" applyFont="1" applyFill="1" applyBorder="1" applyProtection="1"/>
    <xf numFmtId="168" fontId="63" fillId="4" borderId="0" xfId="0" applyNumberFormat="1" applyFont="1" applyFill="1" applyBorder="1" applyAlignment="1" applyProtection="1">
      <alignment vertical="center" wrapText="1"/>
    </xf>
    <xf numFmtId="4" fontId="43" fillId="4" borderId="0" xfId="0" applyNumberFormat="1" applyFont="1" applyFill="1" applyBorder="1" applyAlignment="1" applyProtection="1">
      <alignment horizontal="right" vertical="center" wrapText="1"/>
    </xf>
    <xf numFmtId="0" fontId="63" fillId="4" borderId="0" xfId="0" applyFont="1" applyFill="1" applyBorder="1" applyAlignment="1" applyProtection="1">
      <alignment vertical="center" wrapText="1"/>
    </xf>
    <xf numFmtId="0" fontId="73" fillId="4" borderId="0" xfId="0" applyFont="1" applyFill="1" applyBorder="1" applyAlignment="1" applyProtection="1">
      <alignment vertical="center" wrapText="1"/>
    </xf>
    <xf numFmtId="0" fontId="73" fillId="4" borderId="14" xfId="0" applyFont="1" applyFill="1" applyBorder="1" applyAlignment="1" applyProtection="1">
      <alignment vertical="center" wrapText="1"/>
    </xf>
    <xf numFmtId="0" fontId="73" fillId="4" borderId="0" xfId="0" applyFont="1" applyFill="1" applyBorder="1" applyAlignment="1" applyProtection="1">
      <alignment vertical="top" wrapText="1"/>
    </xf>
    <xf numFmtId="0" fontId="46" fillId="4" borderId="0" xfId="0" applyFont="1" applyFill="1" applyBorder="1" applyAlignment="1" applyProtection="1">
      <alignment vertical="center"/>
    </xf>
    <xf numFmtId="0" fontId="81" fillId="4" borderId="0" xfId="0" applyFont="1" applyFill="1" applyBorder="1" applyAlignment="1" applyProtection="1">
      <alignment vertical="center" wrapText="1"/>
    </xf>
    <xf numFmtId="4" fontId="67" fillId="4" borderId="0" xfId="0" applyNumberFormat="1" applyFont="1" applyFill="1" applyBorder="1" applyAlignment="1" applyProtection="1">
      <alignment horizontal="right" vertical="center" wrapText="1"/>
    </xf>
    <xf numFmtId="0" fontId="67" fillId="4" borderId="0" xfId="0" applyFont="1" applyFill="1" applyBorder="1" applyAlignment="1" applyProtection="1">
      <alignment vertical="center" wrapText="1"/>
    </xf>
    <xf numFmtId="0" fontId="22" fillId="11" borderId="1" xfId="0" applyFont="1" applyFill="1" applyBorder="1" applyAlignment="1" applyProtection="1">
      <alignment vertical="center" wrapText="1"/>
    </xf>
    <xf numFmtId="0" fontId="82" fillId="4" borderId="0" xfId="0" applyFont="1" applyFill="1" applyBorder="1" applyAlignment="1" applyProtection="1">
      <alignment horizontal="left" vertical="top" wrapText="1" indent="1"/>
    </xf>
    <xf numFmtId="0" fontId="81" fillId="2" borderId="15" xfId="0" applyFont="1" applyFill="1" applyBorder="1" applyProtection="1"/>
    <xf numFmtId="0" fontId="81" fillId="2" borderId="16" xfId="0" applyFont="1" applyFill="1" applyBorder="1" applyProtection="1"/>
    <xf numFmtId="0" fontId="19" fillId="2" borderId="16" xfId="0" applyFont="1" applyFill="1" applyBorder="1" applyProtection="1"/>
    <xf numFmtId="0" fontId="19" fillId="2" borderId="17" xfId="0" applyFont="1" applyFill="1" applyBorder="1" applyProtection="1"/>
    <xf numFmtId="0" fontId="83" fillId="4" borderId="0" xfId="0" applyFont="1" applyFill="1" applyBorder="1" applyProtection="1"/>
    <xf numFmtId="0" fontId="10" fillId="2" borderId="18" xfId="0" applyFont="1" applyFill="1" applyBorder="1" applyAlignment="1" applyProtection="1">
      <alignment vertical="center" wrapText="1"/>
    </xf>
    <xf numFmtId="0" fontId="30" fillId="2" borderId="0" xfId="0" applyFont="1" applyFill="1" applyBorder="1" applyAlignment="1" applyProtection="1">
      <alignment horizontal="center" vertical="center" wrapText="1"/>
    </xf>
    <xf numFmtId="168" fontId="67" fillId="4" borderId="0" xfId="0" applyNumberFormat="1" applyFont="1" applyFill="1" applyBorder="1" applyAlignment="1" applyProtection="1">
      <alignment vertical="center"/>
    </xf>
    <xf numFmtId="0" fontId="19" fillId="2" borderId="0" xfId="0" applyFont="1" applyFill="1" applyBorder="1" applyAlignment="1" applyProtection="1">
      <alignment horizontal="right" vertical="center"/>
    </xf>
    <xf numFmtId="165" fontId="19" fillId="2" borderId="0" xfId="0" applyNumberFormat="1" applyFont="1" applyFill="1" applyBorder="1" applyAlignment="1" applyProtection="1">
      <alignment horizontal="left" vertical="center"/>
    </xf>
    <xf numFmtId="0" fontId="19" fillId="2" borderId="19" xfId="0" applyFont="1" applyFill="1" applyBorder="1" applyAlignment="1" applyProtection="1">
      <alignment vertical="center"/>
    </xf>
    <xf numFmtId="4" fontId="84" fillId="2" borderId="0" xfId="0" applyNumberFormat="1" applyFont="1" applyFill="1" applyBorder="1" applyAlignment="1" applyProtection="1"/>
    <xf numFmtId="165" fontId="83" fillId="2" borderId="0" xfId="0" applyNumberFormat="1" applyFont="1" applyFill="1" applyBorder="1" applyAlignment="1" applyProtection="1">
      <alignment horizontal="right"/>
    </xf>
    <xf numFmtId="165" fontId="83" fillId="2" borderId="0" xfId="0" applyNumberFormat="1" applyFont="1" applyFill="1" applyBorder="1" applyAlignment="1" applyProtection="1"/>
    <xf numFmtId="0" fontId="30" fillId="2"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xf>
    <xf numFmtId="0" fontId="19" fillId="2" borderId="19" xfId="0" applyFont="1" applyFill="1" applyBorder="1" applyAlignment="1" applyProtection="1">
      <alignment horizontal="right" vertical="center"/>
    </xf>
    <xf numFmtId="0" fontId="10" fillId="2" borderId="0" xfId="0" applyFont="1" applyFill="1" applyBorder="1" applyAlignment="1" applyProtection="1">
      <alignment horizontal="left" vertical="center" wrapText="1"/>
    </xf>
    <xf numFmtId="4" fontId="42" fillId="2" borderId="0" xfId="0" applyNumberFormat="1" applyFont="1" applyFill="1" applyBorder="1" applyAlignment="1" applyProtection="1"/>
    <xf numFmtId="0" fontId="86" fillId="2" borderId="0" xfId="0" applyFont="1" applyFill="1" applyBorder="1" applyAlignment="1" applyProtection="1">
      <alignment horizontal="right" vertical="center"/>
    </xf>
    <xf numFmtId="165" fontId="87" fillId="2" borderId="0" xfId="0" applyNumberFormat="1" applyFont="1" applyFill="1" applyBorder="1" applyAlignment="1" applyProtection="1"/>
    <xf numFmtId="0" fontId="86" fillId="2" borderId="19" xfId="0" applyFont="1" applyFill="1" applyBorder="1" applyAlignment="1" applyProtection="1">
      <alignment vertical="center"/>
    </xf>
    <xf numFmtId="0" fontId="10" fillId="2" borderId="20" xfId="0" applyFont="1" applyFill="1" applyBorder="1" applyAlignment="1" applyProtection="1">
      <alignment horizontal="left" vertical="center" wrapText="1"/>
    </xf>
    <xf numFmtId="0" fontId="43" fillId="2" borderId="21" xfId="0" applyFont="1" applyFill="1" applyBorder="1" applyAlignment="1" applyProtection="1">
      <alignment horizontal="left" vertical="center"/>
    </xf>
    <xf numFmtId="0" fontId="43" fillId="2" borderId="22" xfId="0" applyFont="1" applyFill="1" applyBorder="1" applyAlignment="1" applyProtection="1">
      <alignment horizontal="left" vertical="center"/>
    </xf>
    <xf numFmtId="4" fontId="43" fillId="2" borderId="22" xfId="0" applyNumberFormat="1" applyFont="1" applyFill="1" applyBorder="1" applyAlignment="1" applyProtection="1">
      <alignment horizontal="left" vertical="center"/>
    </xf>
    <xf numFmtId="0" fontId="19" fillId="2" borderId="22" xfId="0" applyFont="1" applyFill="1" applyBorder="1" applyAlignment="1" applyProtection="1">
      <alignment horizontal="left" vertical="center"/>
    </xf>
    <xf numFmtId="0" fontId="19" fillId="2" borderId="23" xfId="0" applyFont="1" applyFill="1" applyBorder="1" applyAlignment="1" applyProtection="1">
      <alignment horizontal="left" vertical="center"/>
    </xf>
    <xf numFmtId="0" fontId="6" fillId="4" borderId="0" xfId="0" applyFont="1" applyFill="1" applyBorder="1" applyAlignment="1" applyProtection="1">
      <alignment horizontal="left"/>
    </xf>
    <xf numFmtId="4" fontId="6" fillId="4" borderId="0" xfId="0" applyNumberFormat="1" applyFont="1" applyFill="1" applyBorder="1" applyProtection="1"/>
    <xf numFmtId="0" fontId="81" fillId="11" borderId="15" xfId="0" applyFont="1" applyFill="1" applyBorder="1" applyProtection="1"/>
    <xf numFmtId="0" fontId="81" fillId="11" borderId="16" xfId="0" applyFont="1" applyFill="1" applyBorder="1" applyAlignment="1" applyProtection="1">
      <alignment horizontal="left"/>
    </xf>
    <xf numFmtId="4" fontId="81" fillId="11" borderId="16" xfId="0" applyNumberFormat="1" applyFont="1" applyFill="1" applyBorder="1" applyProtection="1"/>
    <xf numFmtId="0" fontId="81" fillId="11" borderId="16" xfId="0" applyFont="1" applyFill="1" applyBorder="1" applyAlignment="1" applyProtection="1">
      <alignment horizontal="right"/>
    </xf>
    <xf numFmtId="0" fontId="81" fillId="11" borderId="16" xfId="0" applyFont="1" applyFill="1" applyBorder="1" applyProtection="1"/>
    <xf numFmtId="0" fontId="81" fillId="11" borderId="17" xfId="0" applyFont="1" applyFill="1" applyBorder="1" applyProtection="1"/>
    <xf numFmtId="0" fontId="88" fillId="11" borderId="18" xfId="0" applyFont="1" applyFill="1" applyBorder="1" applyAlignment="1" applyProtection="1">
      <alignment vertical="center" wrapText="1"/>
    </xf>
    <xf numFmtId="0" fontId="30" fillId="11" borderId="0" xfId="0" applyFont="1" applyFill="1" applyBorder="1" applyAlignment="1" applyProtection="1">
      <alignment horizontal="left" wrapText="1"/>
    </xf>
    <xf numFmtId="0" fontId="67" fillId="11" borderId="0" xfId="0" applyFont="1" applyFill="1" applyBorder="1" applyAlignment="1" applyProtection="1">
      <alignment horizontal="right" vertical="center"/>
    </xf>
    <xf numFmtId="165" fontId="67" fillId="11" borderId="0" xfId="0" applyNumberFormat="1" applyFont="1" applyFill="1" applyBorder="1" applyAlignment="1" applyProtection="1">
      <alignment horizontal="left" vertical="center"/>
    </xf>
    <xf numFmtId="0" fontId="19" fillId="11" borderId="19" xfId="0" applyFont="1" applyFill="1" applyBorder="1" applyAlignment="1" applyProtection="1">
      <alignment vertical="center"/>
    </xf>
    <xf numFmtId="0" fontId="30" fillId="11" borderId="18" xfId="0" applyFont="1" applyFill="1" applyBorder="1" applyAlignment="1" applyProtection="1">
      <alignment wrapText="1"/>
    </xf>
    <xf numFmtId="4" fontId="84" fillId="11" borderId="0" xfId="0" applyNumberFormat="1" applyFont="1" applyFill="1" applyBorder="1" applyAlignment="1" applyProtection="1"/>
    <xf numFmtId="165" fontId="35" fillId="11" borderId="0" xfId="0" applyNumberFormat="1" applyFont="1" applyFill="1" applyBorder="1" applyAlignment="1" applyProtection="1">
      <alignment horizontal="right"/>
    </xf>
    <xf numFmtId="165" fontId="35" fillId="11" borderId="0" xfId="0" applyNumberFormat="1" applyFont="1" applyFill="1" applyBorder="1" applyAlignment="1" applyProtection="1">
      <alignment horizontal="left"/>
    </xf>
    <xf numFmtId="0" fontId="67" fillId="11" borderId="18" xfId="0" applyFont="1" applyFill="1" applyBorder="1" applyAlignment="1" applyProtection="1">
      <alignment horizontal="center" wrapText="1"/>
    </xf>
    <xf numFmtId="0" fontId="76" fillId="11" borderId="0" xfId="0" applyFont="1" applyFill="1" applyBorder="1" applyAlignment="1" applyProtection="1">
      <alignment horizontal="left" wrapText="1"/>
    </xf>
    <xf numFmtId="0" fontId="67" fillId="11" borderId="0" xfId="0" applyFont="1" applyFill="1" applyBorder="1" applyAlignment="1" applyProtection="1">
      <alignment horizontal="left" vertical="center"/>
    </xf>
    <xf numFmtId="0" fontId="19" fillId="11" borderId="19" xfId="0" applyFont="1" applyFill="1" applyBorder="1" applyAlignment="1" applyProtection="1">
      <alignment horizontal="right" vertical="center"/>
    </xf>
    <xf numFmtId="0" fontId="10" fillId="11" borderId="18" xfId="0" applyFont="1" applyFill="1" applyBorder="1" applyAlignment="1" applyProtection="1">
      <alignment horizontal="center" vertical="center" wrapText="1"/>
    </xf>
    <xf numFmtId="0" fontId="10" fillId="11" borderId="0" xfId="0" applyFont="1" applyFill="1" applyBorder="1" applyAlignment="1" applyProtection="1">
      <alignment horizontal="left" vertical="center" wrapText="1"/>
    </xf>
    <xf numFmtId="4" fontId="42" fillId="11" borderId="0" xfId="0" applyNumberFormat="1" applyFont="1" applyFill="1" applyBorder="1" applyAlignment="1" applyProtection="1"/>
    <xf numFmtId="0" fontId="88" fillId="11" borderId="0" xfId="0" applyFont="1" applyFill="1" applyBorder="1" applyAlignment="1" applyProtection="1">
      <alignment horizontal="left" vertical="center" wrapText="1"/>
    </xf>
    <xf numFmtId="0" fontId="43" fillId="11" borderId="21" xfId="0" applyFont="1" applyFill="1" applyBorder="1" applyAlignment="1" applyProtection="1">
      <alignment horizontal="left" vertical="center"/>
    </xf>
    <xf numFmtId="0" fontId="43" fillId="11" borderId="22" xfId="0" applyFont="1" applyFill="1" applyBorder="1" applyAlignment="1" applyProtection="1">
      <alignment horizontal="left" vertical="center"/>
    </xf>
    <xf numFmtId="4" fontId="43" fillId="11" borderId="22" xfId="0" applyNumberFormat="1" applyFont="1" applyFill="1" applyBorder="1" applyAlignment="1" applyProtection="1">
      <alignment horizontal="left" vertical="center"/>
    </xf>
    <xf numFmtId="0" fontId="19" fillId="11" borderId="22" xfId="0" applyFont="1" applyFill="1" applyBorder="1" applyAlignment="1" applyProtection="1">
      <alignment horizontal="left" vertical="center"/>
    </xf>
    <xf numFmtId="0" fontId="19" fillId="11" borderId="23" xfId="0" applyFont="1" applyFill="1" applyBorder="1" applyAlignment="1" applyProtection="1">
      <alignment horizontal="left" vertical="center"/>
    </xf>
    <xf numFmtId="4" fontId="28" fillId="4" borderId="0" xfId="0" applyNumberFormat="1" applyFont="1" applyFill="1" applyBorder="1" applyProtection="1"/>
    <xf numFmtId="0" fontId="90" fillId="4" borderId="0" xfId="0" applyFont="1" applyFill="1" applyBorder="1" applyProtection="1"/>
    <xf numFmtId="165" fontId="83" fillId="11" borderId="0" xfId="0" applyNumberFormat="1" applyFont="1" applyFill="1" applyBorder="1" applyAlignment="1" applyProtection="1">
      <alignment horizontal="right"/>
    </xf>
    <xf numFmtId="165" fontId="83" fillId="11" borderId="0" xfId="0" applyNumberFormat="1" applyFont="1" applyFill="1" applyBorder="1" applyAlignment="1" applyProtection="1">
      <alignment horizontal="left"/>
    </xf>
    <xf numFmtId="0" fontId="19" fillId="11" borderId="0" xfId="0" applyFont="1" applyFill="1" applyBorder="1" applyAlignment="1" applyProtection="1">
      <alignment horizontal="right" vertical="center"/>
    </xf>
    <xf numFmtId="0" fontId="92" fillId="4" borderId="0" xfId="0" applyFont="1" applyFill="1" applyBorder="1" applyAlignment="1" applyProtection="1">
      <alignment horizontal="left" indent="1"/>
    </xf>
    <xf numFmtId="0" fontId="93" fillId="4" borderId="0" xfId="0" applyFont="1" applyFill="1" applyBorder="1" applyProtection="1"/>
    <xf numFmtId="0" fontId="94" fillId="4" borderId="0" xfId="0" applyFont="1" applyFill="1" applyBorder="1" applyProtection="1"/>
    <xf numFmtId="0" fontId="95" fillId="4" borderId="0" xfId="0" applyFont="1" applyFill="1" applyBorder="1" applyProtection="1"/>
    <xf numFmtId="0" fontId="19" fillId="4" borderId="0" xfId="0" applyFont="1" applyFill="1" applyBorder="1" applyAlignment="1" applyProtection="1">
      <alignment vertical="center" wrapText="1"/>
    </xf>
    <xf numFmtId="0" fontId="58" fillId="4" borderId="0" xfId="0" applyFont="1" applyFill="1" applyBorder="1" applyProtection="1"/>
    <xf numFmtId="0" fontId="96" fillId="4" borderId="13" xfId="0" applyFont="1" applyFill="1" applyBorder="1" applyAlignment="1" applyProtection="1">
      <alignment vertical="center" wrapText="1"/>
    </xf>
    <xf numFmtId="4" fontId="81" fillId="4" borderId="0" xfId="0" applyNumberFormat="1" applyFont="1" applyFill="1" applyBorder="1" applyAlignment="1" applyProtection="1">
      <alignment horizontal="right" vertical="center" wrapText="1"/>
    </xf>
    <xf numFmtId="168" fontId="50" fillId="4" borderId="0" xfId="0" applyNumberFormat="1" applyFont="1" applyFill="1" applyBorder="1" applyAlignment="1" applyProtection="1">
      <alignment vertical="center"/>
    </xf>
    <xf numFmtId="0" fontId="50" fillId="11" borderId="0" xfId="0" applyFont="1" applyFill="1" applyBorder="1" applyAlignment="1" applyProtection="1">
      <alignment horizontal="right" vertical="center"/>
    </xf>
    <xf numFmtId="0" fontId="50" fillId="11" borderId="0" xfId="0" applyFont="1" applyFill="1" applyBorder="1" applyAlignment="1" applyProtection="1">
      <alignment horizontal="left" vertical="center"/>
    </xf>
    <xf numFmtId="0" fontId="100" fillId="0" borderId="25" xfId="0" applyFont="1" applyBorder="1"/>
    <xf numFmtId="0" fontId="0" fillId="0" borderId="26" xfId="0" applyBorder="1"/>
    <xf numFmtId="1" fontId="0" fillId="0" borderId="27" xfId="0" applyNumberFormat="1" applyBorder="1"/>
    <xf numFmtId="0" fontId="101" fillId="0" borderId="28" xfId="0" applyFont="1" applyBorder="1"/>
    <xf numFmtId="0" fontId="102" fillId="0" borderId="29" xfId="0" applyFont="1" applyBorder="1"/>
    <xf numFmtId="0" fontId="102" fillId="0" borderId="30" xfId="0" applyFont="1" applyBorder="1"/>
    <xf numFmtId="0" fontId="102" fillId="0" borderId="31" xfId="0" applyFont="1" applyBorder="1"/>
    <xf numFmtId="0" fontId="102" fillId="0" borderId="32" xfId="0" applyFont="1" applyBorder="1"/>
    <xf numFmtId="0" fontId="102" fillId="0" borderId="0" xfId="0" applyFont="1" applyBorder="1"/>
    <xf numFmtId="0" fontId="103" fillId="0" borderId="0" xfId="0" applyFont="1"/>
    <xf numFmtId="0" fontId="104" fillId="0" borderId="31" xfId="0" applyFont="1" applyBorder="1"/>
    <xf numFmtId="0" fontId="102" fillId="0" borderId="31" xfId="0" applyFont="1" applyBorder="1" applyAlignment="1">
      <alignment horizontal="left" indent="1"/>
    </xf>
    <xf numFmtId="0" fontId="102" fillId="0" borderId="33" xfId="0" applyFont="1" applyBorder="1" applyAlignment="1">
      <alignment horizontal="left" indent="1"/>
    </xf>
    <xf numFmtId="0" fontId="102" fillId="0" borderId="34" xfId="0" applyFont="1" applyBorder="1"/>
    <xf numFmtId="0" fontId="102" fillId="0" borderId="35" xfId="0" applyFont="1" applyBorder="1"/>
    <xf numFmtId="0" fontId="105" fillId="0" borderId="0" xfId="0" applyFont="1"/>
    <xf numFmtId="0" fontId="102" fillId="0" borderId="0" xfId="0" applyFont="1"/>
    <xf numFmtId="0" fontId="0" fillId="0" borderId="31" xfId="0" applyBorder="1"/>
    <xf numFmtId="0" fontId="0" fillId="0" borderId="32" xfId="0" applyBorder="1"/>
    <xf numFmtId="0" fontId="106" fillId="0" borderId="0" xfId="1" applyFont="1" applyBorder="1" applyAlignment="1" applyProtection="1"/>
    <xf numFmtId="0" fontId="0" fillId="15" borderId="0" xfId="0" applyFont="1" applyFill="1"/>
    <xf numFmtId="0" fontId="103" fillId="13" borderId="0" xfId="0" applyFont="1" applyFill="1"/>
    <xf numFmtId="0" fontId="104" fillId="0" borderId="31" xfId="0" applyFont="1" applyBorder="1" applyAlignment="1">
      <alignment horizontal="left"/>
    </xf>
    <xf numFmtId="0" fontId="0" fillId="0" borderId="0" xfId="0" applyFont="1" applyBorder="1"/>
    <xf numFmtId="0" fontId="67" fillId="16" borderId="5" xfId="0" applyFont="1" applyFill="1" applyBorder="1" applyAlignment="1">
      <alignment horizontal="center" vertical="center"/>
    </xf>
    <xf numFmtId="0" fontId="50" fillId="16" borderId="1" xfId="0" applyFont="1" applyFill="1" applyBorder="1" applyAlignment="1">
      <alignment horizontal="center" vertical="center" wrapText="1"/>
    </xf>
    <xf numFmtId="171" fontId="35" fillId="0" borderId="9" xfId="0" applyNumberFormat="1" applyFont="1" applyBorder="1"/>
    <xf numFmtId="171" fontId="35" fillId="0" borderId="37" xfId="0" applyNumberFormat="1" applyFont="1" applyBorder="1"/>
    <xf numFmtId="0" fontId="50" fillId="17" borderId="1" xfId="0" applyFont="1" applyFill="1" applyBorder="1" applyAlignment="1">
      <alignment horizontal="center" vertical="center" wrapText="1"/>
    </xf>
    <xf numFmtId="0" fontId="50" fillId="0" borderId="0" xfId="0" applyFont="1" applyBorder="1" applyAlignment="1">
      <alignment horizontal="center" vertical="center" wrapText="1"/>
    </xf>
    <xf numFmtId="171" fontId="35" fillId="0" borderId="0" xfId="0" applyNumberFormat="1" applyFont="1" applyBorder="1"/>
    <xf numFmtId="171" fontId="35" fillId="0" borderId="0" xfId="0" applyNumberFormat="1" applyFont="1" applyBorder="1" applyAlignment="1">
      <alignment vertical="center"/>
    </xf>
    <xf numFmtId="0" fontId="107" fillId="0" borderId="0" xfId="0" applyFont="1"/>
    <xf numFmtId="0" fontId="103" fillId="15" borderId="0" xfId="0" applyFont="1" applyFill="1"/>
    <xf numFmtId="0" fontId="0" fillId="13" borderId="27" xfId="0" applyFill="1" applyBorder="1"/>
    <xf numFmtId="0" fontId="0" fillId="16" borderId="27" xfId="0" applyFill="1" applyBorder="1"/>
    <xf numFmtId="0" fontId="108" fillId="0" borderId="38" xfId="0" applyFont="1" applyBorder="1" applyAlignment="1" applyProtection="1">
      <alignment horizontal="center" vertical="center" wrapText="1"/>
    </xf>
    <xf numFmtId="0" fontId="103" fillId="0" borderId="27" xfId="0" applyFont="1" applyBorder="1"/>
    <xf numFmtId="0" fontId="108" fillId="13" borderId="38" xfId="0" applyFont="1" applyFill="1" applyBorder="1" applyAlignment="1" applyProtection="1">
      <alignment horizontal="center" vertical="center" wrapText="1"/>
    </xf>
    <xf numFmtId="0" fontId="108" fillId="0" borderId="38" xfId="0" applyFont="1" applyBorder="1" applyAlignment="1" applyProtection="1">
      <alignment horizontal="center" vertical="center"/>
    </xf>
    <xf numFmtId="0" fontId="108" fillId="0" borderId="27" xfId="0" applyFont="1" applyBorder="1" applyAlignment="1" applyProtection="1">
      <alignment horizontal="center" vertical="center"/>
    </xf>
    <xf numFmtId="0" fontId="108" fillId="18" borderId="27" xfId="0" applyFont="1" applyFill="1" applyBorder="1" applyAlignment="1" applyProtection="1">
      <alignment horizontal="left" vertical="center"/>
    </xf>
    <xf numFmtId="166" fontId="3" fillId="0" borderId="25" xfId="0" applyNumberFormat="1" applyFont="1" applyBorder="1" applyAlignment="1" applyProtection="1">
      <alignment horizontal="left" vertical="center"/>
    </xf>
    <xf numFmtId="0" fontId="0" fillId="0" borderId="27" xfId="0" applyFont="1" applyBorder="1"/>
    <xf numFmtId="171" fontId="3" fillId="0" borderId="39" xfId="0" applyNumberFormat="1" applyFont="1" applyBorder="1" applyAlignment="1" applyProtection="1">
      <alignment horizontal="center"/>
    </xf>
    <xf numFmtId="0" fontId="3" fillId="0" borderId="27" xfId="0" applyFont="1" applyBorder="1" applyAlignment="1" applyProtection="1">
      <alignment horizontal="right"/>
    </xf>
    <xf numFmtId="4" fontId="3" fillId="0" borderId="27" xfId="0" applyNumberFormat="1" applyFont="1" applyBorder="1" applyAlignment="1" applyProtection="1">
      <alignment horizontal="right"/>
    </xf>
    <xf numFmtId="4" fontId="0" fillId="0" borderId="27" xfId="0" applyNumberFormat="1" applyBorder="1" applyAlignment="1">
      <alignment horizontal="right"/>
    </xf>
    <xf numFmtId="0" fontId="0" fillId="13" borderId="27" xfId="0" applyFont="1" applyFill="1" applyBorder="1"/>
    <xf numFmtId="166" fontId="3" fillId="0" borderId="0" xfId="0" applyNumberFormat="1" applyFont="1" applyBorder="1" applyAlignment="1" applyProtection="1">
      <alignment horizontal="left" vertical="center"/>
    </xf>
    <xf numFmtId="171" fontId="3" fillId="0" borderId="0" xfId="0" applyNumberFormat="1" applyFont="1" applyBorder="1" applyAlignment="1" applyProtection="1">
      <alignment horizontal="right"/>
    </xf>
    <xf numFmtId="4" fontId="3" fillId="0" borderId="0" xfId="0" applyNumberFormat="1" applyFont="1" applyBorder="1" applyAlignment="1" applyProtection="1">
      <alignment horizontal="right"/>
    </xf>
    <xf numFmtId="171" fontId="3" fillId="0" borderId="0" xfId="0" applyNumberFormat="1" applyFont="1" applyBorder="1" applyAlignment="1" applyProtection="1">
      <alignment horizontal="center"/>
    </xf>
    <xf numFmtId="0" fontId="108" fillId="0" borderId="27" xfId="0" applyFont="1" applyBorder="1" applyAlignment="1" applyProtection="1">
      <alignment horizontal="center" vertical="center" wrapText="1"/>
    </xf>
    <xf numFmtId="0" fontId="108" fillId="13" borderId="27" xfId="0" applyFont="1" applyFill="1" applyBorder="1" applyAlignment="1" applyProtection="1">
      <alignment horizontal="center" vertical="center" wrapText="1"/>
    </xf>
    <xf numFmtId="0" fontId="105" fillId="0" borderId="27" xfId="0" applyFont="1" applyBorder="1"/>
    <xf numFmtId="0" fontId="4" fillId="0" borderId="27" xfId="0" applyFont="1" applyBorder="1"/>
    <xf numFmtId="171" fontId="3" fillId="13" borderId="27" xfId="0" applyNumberFormat="1" applyFont="1" applyFill="1" applyBorder="1" applyAlignment="1" applyProtection="1">
      <alignment horizontal="right"/>
    </xf>
    <xf numFmtId="2" fontId="3" fillId="0" borderId="27" xfId="0" applyNumberFormat="1" applyFont="1" applyBorder="1" applyAlignment="1" applyProtection="1">
      <alignment horizontal="right" vertical="center"/>
    </xf>
    <xf numFmtId="0" fontId="102" fillId="0" borderId="27" xfId="0" applyFont="1" applyBorder="1"/>
    <xf numFmtId="4" fontId="0" fillId="0" borderId="0" xfId="0" applyNumberFormat="1"/>
    <xf numFmtId="0" fontId="108" fillId="16" borderId="27" xfId="0" applyFont="1" applyFill="1" applyBorder="1" applyAlignment="1" applyProtection="1">
      <alignment horizontal="center" vertical="center" wrapText="1"/>
    </xf>
    <xf numFmtId="3" fontId="4" fillId="0" borderId="27" xfId="0" applyNumberFormat="1" applyFont="1" applyBorder="1"/>
    <xf numFmtId="3" fontId="3" fillId="0" borderId="27" xfId="0" applyNumberFormat="1" applyFont="1" applyBorder="1" applyAlignment="1" applyProtection="1">
      <alignment horizontal="right"/>
    </xf>
    <xf numFmtId="0" fontId="0" fillId="0" borderId="27" xfId="0" applyBorder="1"/>
    <xf numFmtId="0" fontId="4" fillId="13" borderId="27" xfId="0" applyFont="1" applyFill="1" applyBorder="1"/>
    <xf numFmtId="3" fontId="4" fillId="13" borderId="27" xfId="0" applyNumberFormat="1" applyFont="1" applyFill="1" applyBorder="1"/>
    <xf numFmtId="0" fontId="0" fillId="15" borderId="0" xfId="0" applyFont="1" applyFill="1" applyAlignment="1">
      <alignment horizontal="left" vertical="center"/>
    </xf>
    <xf numFmtId="0" fontId="109" fillId="0" borderId="0" xfId="0" applyFont="1"/>
    <xf numFmtId="0" fontId="110" fillId="16" borderId="27" xfId="0" applyFont="1" applyFill="1" applyBorder="1" applyAlignment="1" applyProtection="1">
      <alignment horizontal="center" vertical="center" wrapText="1"/>
    </xf>
    <xf numFmtId="0" fontId="110" fillId="0" borderId="27" xfId="0" applyFont="1" applyBorder="1" applyAlignment="1" applyProtection="1">
      <alignment horizontal="center" vertical="center"/>
    </xf>
    <xf numFmtId="0" fontId="110" fillId="13" borderId="27" xfId="0" applyFont="1" applyFill="1" applyBorder="1" applyAlignment="1" applyProtection="1">
      <alignment horizontal="center" vertical="center"/>
    </xf>
    <xf numFmtId="0" fontId="110" fillId="0" borderId="27" xfId="0" applyFont="1" applyBorder="1" applyAlignment="1" applyProtection="1">
      <alignment horizontal="center" vertical="center" wrapText="1"/>
    </xf>
    <xf numFmtId="0" fontId="53" fillId="0" borderId="27" xfId="0" applyFont="1" applyBorder="1" applyAlignment="1" applyProtection="1">
      <alignment horizontal="left"/>
    </xf>
    <xf numFmtId="2" fontId="53" fillId="0" borderId="27" xfId="0" applyNumberFormat="1" applyFont="1" applyBorder="1" applyAlignment="1" applyProtection="1">
      <alignment horizontal="left"/>
    </xf>
    <xf numFmtId="0" fontId="53" fillId="0" borderId="6" xfId="0" applyFont="1" applyBorder="1" applyAlignment="1" applyProtection="1">
      <alignment horizontal="left" vertical="top" wrapText="1"/>
    </xf>
    <xf numFmtId="0" fontId="28" fillId="0" borderId="6" xfId="0" applyFont="1" applyBorder="1" applyAlignment="1"/>
    <xf numFmtId="2" fontId="28" fillId="0" borderId="6" xfId="0" applyNumberFormat="1" applyFont="1" applyBorder="1" applyAlignment="1"/>
    <xf numFmtId="2" fontId="28" fillId="0" borderId="1" xfId="0" applyNumberFormat="1" applyFont="1" applyBorder="1" applyAlignment="1">
      <alignment horizontal="center"/>
    </xf>
    <xf numFmtId="4" fontId="28" fillId="0" borderId="40" xfId="0" applyNumberFormat="1" applyFont="1" applyBorder="1" applyAlignment="1">
      <alignment horizontal="center"/>
    </xf>
    <xf numFmtId="0" fontId="28" fillId="4" borderId="6" xfId="0" applyFont="1" applyFill="1" applyBorder="1" applyAlignment="1"/>
    <xf numFmtId="4" fontId="28" fillId="4" borderId="40" xfId="0" applyNumberFormat="1" applyFont="1" applyFill="1" applyBorder="1" applyAlignment="1">
      <alignment horizontal="center"/>
    </xf>
    <xf numFmtId="2" fontId="53" fillId="0" borderId="27" xfId="0" applyNumberFormat="1" applyFont="1" applyBorder="1" applyAlignment="1" applyProtection="1">
      <alignment horizontal="right" vertical="center"/>
    </xf>
    <xf numFmtId="0" fontId="53" fillId="0" borderId="0" xfId="0" applyFont="1" applyBorder="1" applyProtection="1"/>
    <xf numFmtId="2" fontId="53" fillId="18" borderId="0" xfId="0" applyNumberFormat="1" applyFont="1" applyFill="1" applyBorder="1" applyProtection="1"/>
    <xf numFmtId="0" fontId="28" fillId="0" borderId="27" xfId="0" applyFont="1" applyBorder="1" applyAlignment="1"/>
    <xf numFmtId="0" fontId="111" fillId="0" borderId="0" xfId="0" applyFont="1"/>
    <xf numFmtId="0" fontId="28" fillId="0" borderId="6" xfId="0" applyFont="1" applyBorder="1" applyAlignment="1">
      <alignment wrapText="1"/>
    </xf>
    <xf numFmtId="0" fontId="53" fillId="13" borderId="27" xfId="0" applyFont="1" applyFill="1" applyBorder="1" applyAlignment="1" applyProtection="1">
      <alignment horizontal="left" vertical="top" wrapText="1"/>
    </xf>
    <xf numFmtId="0" fontId="28" fillId="4" borderId="6" xfId="0" applyFont="1" applyFill="1" applyBorder="1" applyAlignment="1">
      <alignment wrapText="1"/>
    </xf>
    <xf numFmtId="0" fontId="28" fillId="4" borderId="27" xfId="0" applyFont="1" applyFill="1" applyBorder="1" applyAlignment="1"/>
    <xf numFmtId="0" fontId="0" fillId="4" borderId="27" xfId="0" applyFill="1" applyBorder="1"/>
    <xf numFmtId="0" fontId="53" fillId="0" borderId="0" xfId="0" applyFont="1" applyBorder="1" applyAlignment="1" applyProtection="1">
      <alignment horizontal="left"/>
    </xf>
    <xf numFmtId="2" fontId="53" fillId="0" borderId="0" xfId="0" applyNumberFormat="1" applyFont="1" applyBorder="1" applyAlignment="1" applyProtection="1">
      <alignment horizontal="left"/>
    </xf>
    <xf numFmtId="2" fontId="0" fillId="18" borderId="0" xfId="0" applyNumberFormat="1" applyFill="1"/>
    <xf numFmtId="2" fontId="0" fillId="0" borderId="27" xfId="0" applyNumberFormat="1" applyBorder="1" applyAlignment="1">
      <alignment horizontal="right"/>
    </xf>
    <xf numFmtId="0" fontId="53" fillId="0" borderId="0" xfId="0" applyFont="1" applyBorder="1" applyAlignment="1" applyProtection="1">
      <alignment vertical="center"/>
    </xf>
    <xf numFmtId="0" fontId="0" fillId="0" borderId="0" xfId="0" applyFont="1" applyAlignment="1">
      <alignment horizontal="left"/>
    </xf>
    <xf numFmtId="1" fontId="53" fillId="0" borderId="0" xfId="0" applyNumberFormat="1" applyFont="1" applyBorder="1" applyProtection="1"/>
    <xf numFmtId="4" fontId="58" fillId="19" borderId="0" xfId="0" applyNumberFormat="1" applyFont="1" applyFill="1"/>
    <xf numFmtId="4" fontId="0" fillId="0" borderId="27" xfId="0" applyNumberFormat="1" applyBorder="1"/>
    <xf numFmtId="0" fontId="34" fillId="0" borderId="0" xfId="0" applyFont="1"/>
    <xf numFmtId="1" fontId="0" fillId="0" borderId="0" xfId="0" applyNumberFormat="1"/>
    <xf numFmtId="4" fontId="0" fillId="13" borderId="27" xfId="0" applyNumberFormat="1" applyFill="1" applyBorder="1"/>
    <xf numFmtId="4" fontId="58" fillId="13" borderId="27" xfId="0" applyNumberFormat="1" applyFont="1" applyFill="1" applyBorder="1"/>
    <xf numFmtId="170" fontId="0" fillId="0" borderId="27" xfId="0" applyNumberFormat="1" applyBorder="1"/>
    <xf numFmtId="2" fontId="0" fillId="0" borderId="27" xfId="0" applyNumberFormat="1" applyBorder="1"/>
    <xf numFmtId="172" fontId="0" fillId="0" borderId="27" xfId="0" applyNumberFormat="1" applyBorder="1"/>
    <xf numFmtId="168" fontId="0" fillId="0" borderId="27" xfId="0" applyNumberFormat="1" applyBorder="1"/>
    <xf numFmtId="169" fontId="0" fillId="0" borderId="0" xfId="0" applyNumberFormat="1"/>
    <xf numFmtId="0" fontId="112" fillId="20" borderId="27" xfId="0" applyFont="1" applyFill="1" applyBorder="1" applyAlignment="1">
      <alignment horizontal="right"/>
    </xf>
    <xf numFmtId="169" fontId="112" fillId="20" borderId="27" xfId="0" applyNumberFormat="1" applyFont="1" applyFill="1" applyBorder="1" applyAlignment="1">
      <alignment horizontal="right"/>
    </xf>
    <xf numFmtId="172" fontId="0" fillId="0" borderId="0" xfId="0" applyNumberFormat="1"/>
    <xf numFmtId="0" fontId="112" fillId="21" borderId="27" xfId="0" applyFont="1" applyFill="1" applyBorder="1" applyAlignment="1">
      <alignment horizontal="right"/>
    </xf>
    <xf numFmtId="169" fontId="112" fillId="21" borderId="27" xfId="0" applyNumberFormat="1" applyFont="1" applyFill="1" applyBorder="1" applyAlignment="1">
      <alignment horizontal="right"/>
    </xf>
    <xf numFmtId="0" fontId="53" fillId="22" borderId="27" xfId="0" applyFont="1" applyFill="1" applyBorder="1" applyAlignment="1" applyProtection="1">
      <alignment vertical="center"/>
    </xf>
    <xf numFmtId="0" fontId="53" fillId="0" borderId="0" xfId="0" applyFont="1" applyBorder="1" applyAlignment="1" applyProtection="1">
      <alignment horizontal="center" vertical="center"/>
    </xf>
    <xf numFmtId="0" fontId="53" fillId="23" borderId="0" xfId="0" applyFont="1" applyFill="1" applyBorder="1" applyAlignment="1" applyProtection="1">
      <alignment horizontal="center" vertical="center"/>
    </xf>
    <xf numFmtId="0" fontId="0" fillId="23" borderId="0" xfId="0" applyFont="1" applyFill="1"/>
    <xf numFmtId="0" fontId="53" fillId="24" borderId="0" xfId="0" applyFont="1" applyFill="1" applyBorder="1" applyAlignment="1" applyProtection="1">
      <alignment horizontal="center"/>
    </xf>
    <xf numFmtId="0" fontId="0" fillId="24" borderId="0" xfId="0" applyFont="1" applyFill="1"/>
    <xf numFmtId="0" fontId="53" fillId="0" borderId="0" xfId="0" applyFont="1" applyBorder="1" applyAlignment="1" applyProtection="1">
      <alignment horizontal="center"/>
    </xf>
    <xf numFmtId="0" fontId="53" fillId="25" borderId="27" xfId="0" applyFont="1" applyFill="1" applyBorder="1" applyAlignment="1" applyProtection="1">
      <alignment vertical="center"/>
    </xf>
    <xf numFmtId="0" fontId="53" fillId="26" borderId="27" xfId="0" applyFont="1" applyFill="1" applyBorder="1" applyAlignment="1" applyProtection="1">
      <alignment vertical="center"/>
    </xf>
    <xf numFmtId="0" fontId="103" fillId="4" borderId="27" xfId="0" applyFont="1" applyFill="1" applyBorder="1" applyAlignment="1">
      <alignment horizontal="center" vertical="center" wrapText="1"/>
    </xf>
    <xf numFmtId="0" fontId="103" fillId="27" borderId="27" xfId="0" applyFont="1" applyFill="1" applyBorder="1" applyAlignment="1">
      <alignment horizontal="center" vertical="center" wrapText="1"/>
    </xf>
    <xf numFmtId="1" fontId="0" fillId="0" borderId="41" xfId="0" applyNumberFormat="1" applyBorder="1"/>
    <xf numFmtId="0" fontId="103" fillId="27" borderId="27" xfId="0" applyFont="1" applyFill="1" applyBorder="1" applyAlignment="1">
      <alignment horizontal="center"/>
    </xf>
    <xf numFmtId="0" fontId="0" fillId="0" borderId="41" xfId="0" applyFont="1" applyBorder="1"/>
    <xf numFmtId="0" fontId="0" fillId="0" borderId="41" xfId="0" applyBorder="1"/>
    <xf numFmtId="4" fontId="58" fillId="0" borderId="0" xfId="0" applyNumberFormat="1" applyFont="1"/>
    <xf numFmtId="0" fontId="113" fillId="4" borderId="27" xfId="0" applyFont="1" applyFill="1" applyBorder="1" applyAlignment="1">
      <alignment horizontal="center"/>
    </xf>
    <xf numFmtId="3" fontId="58" fillId="14" borderId="27" xfId="8" applyNumberFormat="1" applyFont="1" applyFill="1" applyBorder="1" applyAlignment="1">
      <alignment horizontal="right" vertical="center"/>
    </xf>
    <xf numFmtId="3" fontId="58" fillId="4" borderId="27" xfId="8" applyNumberFormat="1" applyFont="1" applyFill="1" applyBorder="1" applyAlignment="1">
      <alignment horizontal="right" vertical="center"/>
    </xf>
    <xf numFmtId="3" fontId="58" fillId="4" borderId="27" xfId="0" applyNumberFormat="1" applyFont="1" applyFill="1" applyBorder="1"/>
    <xf numFmtId="0" fontId="58" fillId="14" borderId="27" xfId="0" applyFont="1" applyFill="1" applyBorder="1"/>
    <xf numFmtId="4" fontId="58" fillId="14" borderId="27" xfId="0" applyNumberFormat="1" applyFont="1" applyFill="1" applyBorder="1" applyAlignment="1">
      <alignment wrapText="1"/>
    </xf>
    <xf numFmtId="4" fontId="58" fillId="14" borderId="27" xfId="0" applyNumberFormat="1" applyFont="1" applyFill="1" applyBorder="1" applyAlignment="1">
      <alignment horizontal="center" wrapText="1"/>
    </xf>
    <xf numFmtId="170" fontId="58" fillId="4" borderId="27" xfId="0" applyNumberFormat="1" applyFont="1" applyFill="1" applyBorder="1" applyAlignment="1">
      <alignment horizontal="center"/>
    </xf>
    <xf numFmtId="4" fontId="58" fillId="14" borderId="27" xfId="0" applyNumberFormat="1" applyFont="1" applyFill="1" applyBorder="1"/>
    <xf numFmtId="172" fontId="58" fillId="30" borderId="27" xfId="0" applyNumberFormat="1" applyFont="1" applyFill="1" applyBorder="1"/>
    <xf numFmtId="172" fontId="58" fillId="31" borderId="27" xfId="0" applyNumberFormat="1" applyFont="1" applyFill="1" applyBorder="1"/>
    <xf numFmtId="172" fontId="58" fillId="32" borderId="27" xfId="0" applyNumberFormat="1" applyFont="1" applyFill="1" applyBorder="1"/>
    <xf numFmtId="172" fontId="58" fillId="33" borderId="27" xfId="0" applyNumberFormat="1" applyFont="1" applyFill="1" applyBorder="1"/>
    <xf numFmtId="4" fontId="58" fillId="14" borderId="27" xfId="0" applyNumberFormat="1" applyFont="1" applyFill="1" applyBorder="1" applyAlignment="1">
      <alignment horizontal="center"/>
    </xf>
    <xf numFmtId="170" fontId="58" fillId="4" borderId="27" xfId="0" applyNumberFormat="1" applyFont="1" applyFill="1" applyBorder="1"/>
    <xf numFmtId="165" fontId="0" fillId="0" borderId="41" xfId="0" applyNumberFormat="1" applyBorder="1"/>
    <xf numFmtId="3" fontId="58" fillId="14" borderId="27" xfId="0" applyNumberFormat="1" applyFont="1" applyFill="1" applyBorder="1"/>
    <xf numFmtId="166" fontId="58" fillId="14" borderId="27" xfId="0" applyNumberFormat="1" applyFont="1" applyFill="1" applyBorder="1"/>
    <xf numFmtId="0" fontId="0" fillId="14" borderId="27" xfId="0" applyFill="1" applyBorder="1"/>
    <xf numFmtId="4" fontId="58" fillId="0" borderId="27" xfId="0" applyNumberFormat="1" applyFont="1" applyBorder="1"/>
    <xf numFmtId="0" fontId="21" fillId="9" borderId="6"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wrapText="1"/>
    </xf>
    <xf numFmtId="0" fontId="21" fillId="9" borderId="6" xfId="0" applyFont="1" applyFill="1" applyBorder="1" applyAlignment="1" applyProtection="1">
      <alignment horizontal="center" vertical="center" wrapText="1"/>
    </xf>
    <xf numFmtId="0" fontId="116" fillId="34" borderId="3" xfId="0" applyFont="1" applyFill="1" applyBorder="1" applyAlignment="1" applyProtection="1">
      <alignment horizontal="center" vertical="center"/>
    </xf>
    <xf numFmtId="0" fontId="21" fillId="4" borderId="0" xfId="0" applyFont="1" applyFill="1" applyBorder="1" applyAlignment="1" applyProtection="1">
      <alignment horizontal="center" vertical="center" wrapText="1"/>
    </xf>
    <xf numFmtId="0" fontId="21" fillId="10" borderId="1" xfId="0" applyFont="1" applyFill="1" applyBorder="1" applyAlignment="1" applyProtection="1">
      <alignment horizontal="center" vertical="center" wrapText="1"/>
    </xf>
    <xf numFmtId="1" fontId="117" fillId="4" borderId="8" xfId="0" applyNumberFormat="1" applyFont="1" applyFill="1" applyBorder="1" applyAlignment="1" applyProtection="1">
      <alignment horizontal="center" vertical="center"/>
    </xf>
    <xf numFmtId="0" fontId="117" fillId="10" borderId="0" xfId="0" applyFont="1" applyFill="1" applyBorder="1" applyProtection="1"/>
    <xf numFmtId="0" fontId="117" fillId="10" borderId="0" xfId="0" applyFont="1" applyFill="1" applyBorder="1" applyAlignment="1" applyProtection="1">
      <alignment horizontal="center" vertical="center"/>
    </xf>
    <xf numFmtId="4" fontId="117" fillId="10" borderId="0" xfId="0" applyNumberFormat="1" applyFont="1" applyFill="1" applyBorder="1" applyAlignment="1" applyProtection="1">
      <alignment horizontal="center"/>
    </xf>
    <xf numFmtId="0" fontId="119" fillId="10" borderId="1" xfId="0" applyFont="1" applyFill="1" applyBorder="1" applyAlignment="1" applyProtection="1">
      <alignment horizontal="center" vertical="center" wrapText="1"/>
    </xf>
    <xf numFmtId="1" fontId="117" fillId="4" borderId="3" xfId="0" applyNumberFormat="1" applyFont="1" applyFill="1" applyBorder="1" applyAlignment="1" applyProtection="1">
      <alignment horizontal="center" vertical="center"/>
    </xf>
    <xf numFmtId="165" fontId="120" fillId="4" borderId="1" xfId="0" applyNumberFormat="1" applyFont="1" applyFill="1" applyBorder="1" applyAlignment="1" applyProtection="1">
      <alignment horizontal="center" vertical="center"/>
    </xf>
    <xf numFmtId="1" fontId="117" fillId="4" borderId="9" xfId="0" applyNumberFormat="1" applyFont="1" applyFill="1" applyBorder="1" applyAlignment="1" applyProtection="1">
      <alignment horizontal="center" vertical="center"/>
    </xf>
    <xf numFmtId="0" fontId="119" fillId="10" borderId="6" xfId="0" applyFont="1" applyFill="1" applyBorder="1" applyAlignment="1" applyProtection="1">
      <alignment horizontal="center" vertical="center" wrapText="1"/>
    </xf>
    <xf numFmtId="0" fontId="0" fillId="0" borderId="0" xfId="0" applyAlignment="1">
      <alignment wrapText="1"/>
    </xf>
    <xf numFmtId="0" fontId="0" fillId="0" borderId="0" xfId="0" applyAlignment="1">
      <alignment horizontal="center" wrapText="1"/>
    </xf>
    <xf numFmtId="0" fontId="0" fillId="0" borderId="27" xfId="0" applyBorder="1" applyAlignment="1">
      <alignment horizontal="center" vertical="center"/>
    </xf>
    <xf numFmtId="0" fontId="0" fillId="0" borderId="27" xfId="0" applyBorder="1" applyAlignment="1">
      <alignment horizontal="center" vertical="center" wrapText="1"/>
    </xf>
    <xf numFmtId="166" fontId="0" fillId="0" borderId="27" xfId="0" applyNumberFormat="1" applyBorder="1"/>
    <xf numFmtId="173" fontId="0" fillId="0" borderId="27" xfId="0" applyNumberFormat="1" applyBorder="1"/>
    <xf numFmtId="0" fontId="122" fillId="0" borderId="27" xfId="0" applyFont="1" applyBorder="1" applyAlignment="1">
      <alignment horizontal="center" vertical="center"/>
    </xf>
    <xf numFmtId="0" fontId="122" fillId="0" borderId="27" xfId="0" applyFont="1" applyBorder="1" applyAlignment="1">
      <alignment horizontal="center" vertical="center" wrapText="1"/>
    </xf>
    <xf numFmtId="11" fontId="28" fillId="36" borderId="1" xfId="0" applyNumberFormat="1" applyFont="1" applyFill="1" applyBorder="1" applyAlignment="1" applyProtection="1">
      <alignment horizontal="right" vertical="center" wrapText="1"/>
    </xf>
    <xf numFmtId="11" fontId="3" fillId="0" borderId="27" xfId="0" applyNumberFormat="1" applyFont="1" applyBorder="1" applyAlignment="1" applyProtection="1">
      <alignment horizontal="right"/>
    </xf>
    <xf numFmtId="11" fontId="3" fillId="0" borderId="0" xfId="0" applyNumberFormat="1" applyFont="1" applyBorder="1" applyAlignment="1" applyProtection="1">
      <alignment horizontal="right"/>
    </xf>
    <xf numFmtId="11" fontId="28" fillId="4" borderId="1" xfId="0" applyNumberFormat="1" applyFont="1" applyFill="1" applyBorder="1" applyAlignment="1" applyProtection="1">
      <alignment horizontal="right" vertical="center" wrapText="1"/>
    </xf>
    <xf numFmtId="0" fontId="108" fillId="18" borderId="27" xfId="0" applyFont="1" applyFill="1" applyBorder="1" applyAlignment="1" applyProtection="1">
      <alignment horizontal="left" vertical="center" wrapText="1"/>
    </xf>
    <xf numFmtId="10" fontId="0" fillId="0" borderId="0" xfId="0" applyNumberFormat="1"/>
    <xf numFmtId="0" fontId="23" fillId="4" borderId="0" xfId="1" applyFont="1" applyFill="1" applyBorder="1" applyAlignment="1" applyProtection="1">
      <alignment horizontal="left" vertical="center"/>
    </xf>
    <xf numFmtId="3" fontId="58" fillId="38" borderId="27" xfId="8" applyNumberFormat="1" applyFont="1" applyFill="1" applyBorder="1" applyAlignment="1">
      <alignment horizontal="right" vertical="center"/>
    </xf>
    <xf numFmtId="0" fontId="0" fillId="38" borderId="27" xfId="0" applyFill="1" applyBorder="1"/>
    <xf numFmtId="0" fontId="0" fillId="39" borderId="0" xfId="0" applyFill="1"/>
    <xf numFmtId="0" fontId="6" fillId="4" borderId="0" xfId="0" applyFont="1" applyFill="1" applyBorder="1" applyAlignment="1" applyProtection="1">
      <alignment vertical="top" wrapText="1"/>
    </xf>
    <xf numFmtId="0" fontId="21" fillId="9" borderId="1" xfId="0" applyFont="1" applyFill="1" applyBorder="1" applyAlignment="1" applyProtection="1">
      <alignment horizontal="center" vertical="center" wrapText="1"/>
    </xf>
    <xf numFmtId="0" fontId="21" fillId="9" borderId="6" xfId="0" applyFont="1" applyFill="1" applyBorder="1" applyAlignment="1" applyProtection="1">
      <alignment horizontal="center" vertical="center" wrapText="1"/>
    </xf>
    <xf numFmtId="0" fontId="19" fillId="4" borderId="0" xfId="0" applyFont="1" applyFill="1" applyBorder="1" applyAlignment="1" applyProtection="1">
      <alignment vertical="center"/>
    </xf>
    <xf numFmtId="0" fontId="19" fillId="4" borderId="0" xfId="0" applyFont="1" applyFill="1" applyBorder="1" applyAlignment="1" applyProtection="1">
      <alignment horizontal="center" vertical="center"/>
    </xf>
    <xf numFmtId="0" fontId="130" fillId="41" borderId="6" xfId="0" applyFont="1" applyFill="1" applyBorder="1" applyAlignment="1" applyProtection="1">
      <alignment vertical="center" wrapText="1"/>
    </xf>
    <xf numFmtId="0" fontId="130" fillId="41" borderId="1" xfId="0" applyFont="1" applyFill="1" applyBorder="1" applyAlignment="1" applyProtection="1">
      <alignment horizontal="center" vertical="center" wrapText="1"/>
    </xf>
    <xf numFmtId="166" fontId="28" fillId="36" borderId="1" xfId="0" applyNumberFormat="1" applyFont="1" applyFill="1" applyBorder="1" applyAlignment="1" applyProtection="1">
      <alignment horizontal="left" vertical="center" wrapText="1"/>
    </xf>
    <xf numFmtId="4" fontId="19" fillId="4" borderId="0" xfId="0" applyNumberFormat="1" applyFont="1" applyFill="1" applyBorder="1" applyAlignment="1" applyProtection="1">
      <alignment horizontal="center" vertical="center" wrapText="1"/>
    </xf>
    <xf numFmtId="0" fontId="0" fillId="0" borderId="0" xfId="0" applyFill="1" applyBorder="1"/>
    <xf numFmtId="0" fontId="0" fillId="0" borderId="0" xfId="0" applyFont="1" applyFill="1" applyBorder="1"/>
    <xf numFmtId="0" fontId="28" fillId="42" borderId="1" xfId="0" applyFont="1" applyFill="1" applyBorder="1" applyAlignment="1" applyProtection="1">
      <alignment horizontal="left" vertical="center" wrapText="1"/>
    </xf>
    <xf numFmtId="0" fontId="6" fillId="4" borderId="0" xfId="0" applyFont="1" applyFill="1" applyBorder="1" applyAlignment="1" applyProtection="1"/>
    <xf numFmtId="0" fontId="21" fillId="9" borderId="1" xfId="0" applyFont="1" applyFill="1" applyBorder="1" applyAlignment="1" applyProtection="1">
      <alignment horizontal="center" vertical="center" wrapText="1"/>
    </xf>
    <xf numFmtId="0" fontId="28" fillId="36" borderId="0" xfId="0" applyFont="1" applyFill="1" applyBorder="1" applyAlignment="1" applyProtection="1">
      <alignment horizontal="center"/>
    </xf>
    <xf numFmtId="1" fontId="22" fillId="35" borderId="3" xfId="0" applyNumberFormat="1" applyFont="1" applyFill="1" applyBorder="1" applyAlignment="1" applyProtection="1">
      <alignment horizontal="center" vertical="center"/>
      <protection locked="0"/>
    </xf>
    <xf numFmtId="0" fontId="6" fillId="35" borderId="1" xfId="0" applyFont="1" applyFill="1" applyBorder="1" applyAlignment="1" applyProtection="1">
      <alignment horizontal="center" vertical="center"/>
      <protection locked="0"/>
    </xf>
    <xf numFmtId="1" fontId="6" fillId="35" borderId="3" xfId="0" applyNumberFormat="1" applyFont="1" applyFill="1" applyBorder="1" applyAlignment="1" applyProtection="1">
      <alignment horizontal="center" vertical="center"/>
      <protection locked="0"/>
    </xf>
    <xf numFmtId="4" fontId="6" fillId="35" borderId="7" xfId="0" applyNumberFormat="1" applyFont="1" applyFill="1" applyBorder="1" applyAlignment="1" applyProtection="1">
      <alignment horizontal="right" vertical="center"/>
      <protection locked="0"/>
    </xf>
    <xf numFmtId="49" fontId="118" fillId="35" borderId="4" xfId="0" applyNumberFormat="1" applyFont="1" applyFill="1" applyBorder="1" applyAlignment="1" applyProtection="1">
      <alignment horizontal="center" vertical="center"/>
      <protection locked="0"/>
    </xf>
    <xf numFmtId="4" fontId="118" fillId="35" borderId="4" xfId="0" applyNumberFormat="1" applyFont="1" applyFill="1" applyBorder="1" applyAlignment="1" applyProtection="1">
      <alignment horizontal="center" vertical="center"/>
      <protection locked="0"/>
    </xf>
    <xf numFmtId="4" fontId="120" fillId="35" borderId="6" xfId="0" applyNumberFormat="1" applyFont="1" applyFill="1" applyBorder="1" applyAlignment="1" applyProtection="1">
      <alignment horizontal="center" vertical="center"/>
      <protection locked="0"/>
    </xf>
    <xf numFmtId="165" fontId="120" fillId="35" borderId="1" xfId="0" applyNumberFormat="1" applyFont="1" applyFill="1" applyBorder="1" applyAlignment="1" applyProtection="1">
      <alignment horizontal="center" vertical="center"/>
      <protection locked="0"/>
    </xf>
    <xf numFmtId="4" fontId="120" fillId="35" borderId="10" xfId="0" applyNumberFormat="1" applyFont="1" applyFill="1" applyBorder="1" applyAlignment="1" applyProtection="1">
      <alignment horizontal="center" vertical="center"/>
      <protection locked="0"/>
    </xf>
    <xf numFmtId="4" fontId="120" fillId="35" borderId="4" xfId="0" applyNumberFormat="1" applyFont="1" applyFill="1" applyBorder="1" applyAlignment="1" applyProtection="1">
      <alignment horizontal="center" vertical="center"/>
      <protection locked="0"/>
    </xf>
    <xf numFmtId="4" fontId="120" fillId="35" borderId="1" xfId="0" applyNumberFormat="1" applyFont="1" applyFill="1" applyBorder="1" applyAlignment="1" applyProtection="1">
      <alignment horizontal="center" vertical="center"/>
      <protection locked="0"/>
    </xf>
    <xf numFmtId="0" fontId="19" fillId="4" borderId="0" xfId="0" applyFont="1" applyFill="1" applyBorder="1" applyAlignment="1" applyProtection="1">
      <alignment horizontal="center" vertical="center"/>
      <protection locked="0"/>
    </xf>
    <xf numFmtId="0" fontId="28" fillId="11" borderId="1" xfId="0" applyFont="1" applyFill="1" applyBorder="1" applyAlignment="1" applyProtection="1">
      <alignment horizontal="left" vertical="center" wrapText="1"/>
      <protection locked="0"/>
    </xf>
    <xf numFmtId="0" fontId="28" fillId="35" borderId="1" xfId="0" applyFont="1" applyFill="1" applyBorder="1" applyAlignment="1" applyProtection="1">
      <alignment horizontal="center" vertical="center" wrapText="1"/>
      <protection locked="0"/>
    </xf>
    <xf numFmtId="165" fontId="28" fillId="35" borderId="1" xfId="0" applyNumberFormat="1" applyFont="1" applyFill="1" applyBorder="1" applyAlignment="1" applyProtection="1">
      <alignment vertical="center" wrapText="1"/>
      <protection locked="0"/>
    </xf>
    <xf numFmtId="166" fontId="28" fillId="40" borderId="1" xfId="0" applyNumberFormat="1" applyFont="1" applyFill="1" applyBorder="1" applyAlignment="1" applyProtection="1">
      <alignment horizontal="right" vertical="center" wrapText="1"/>
      <protection locked="0"/>
    </xf>
    <xf numFmtId="49" fontId="28" fillId="11" borderId="1" xfId="0" applyNumberFormat="1" applyFont="1" applyFill="1" applyBorder="1" applyAlignment="1" applyProtection="1">
      <alignment horizontal="center" vertical="center" wrapText="1"/>
      <protection locked="0"/>
    </xf>
    <xf numFmtId="165" fontId="28" fillId="35" borderId="1" xfId="0" applyNumberFormat="1" applyFont="1" applyFill="1" applyBorder="1" applyAlignment="1" applyProtection="1">
      <alignment horizontal="right" vertical="center" wrapText="1"/>
      <protection locked="0"/>
    </xf>
    <xf numFmtId="2" fontId="28" fillId="35" borderId="1" xfId="0" applyNumberFormat="1" applyFont="1" applyFill="1" applyBorder="1" applyAlignment="1" applyProtection="1">
      <alignment horizontal="right" vertical="center" wrapText="1"/>
      <protection locked="0"/>
    </xf>
    <xf numFmtId="0" fontId="28" fillId="40" borderId="1" xfId="0" applyFont="1" applyFill="1" applyBorder="1" applyAlignment="1" applyProtection="1">
      <alignment horizontal="center" vertical="center" wrapText="1"/>
      <protection locked="0"/>
    </xf>
    <xf numFmtId="3" fontId="28" fillId="40" borderId="1" xfId="0" applyNumberFormat="1" applyFont="1" applyFill="1" applyBorder="1" applyAlignment="1" applyProtection="1">
      <alignment horizontal="center" vertical="center" wrapText="1"/>
      <protection locked="0"/>
    </xf>
    <xf numFmtId="166" fontId="28" fillId="35" borderId="1" xfId="0" applyNumberFormat="1" applyFont="1" applyFill="1" applyBorder="1" applyAlignment="1" applyProtection="1">
      <alignment horizontal="center" vertical="center" wrapText="1"/>
      <protection locked="0"/>
    </xf>
    <xf numFmtId="165" fontId="62" fillId="35" borderId="1" xfId="0" applyNumberFormat="1" applyFont="1" applyFill="1" applyBorder="1" applyAlignment="1" applyProtection="1">
      <alignment horizontal="left" vertical="center"/>
      <protection locked="0"/>
    </xf>
    <xf numFmtId="0" fontId="35" fillId="35" borderId="1" xfId="0" applyFont="1" applyFill="1" applyBorder="1" applyAlignment="1" applyProtection="1">
      <alignment horizontal="left" vertical="center"/>
      <protection locked="0"/>
    </xf>
    <xf numFmtId="165" fontId="0" fillId="35" borderId="1" xfId="0" applyNumberFormat="1" applyFont="1" applyFill="1" applyBorder="1" applyAlignment="1" applyProtection="1">
      <alignment horizontal="right" vertical="center"/>
      <protection locked="0"/>
    </xf>
    <xf numFmtId="165" fontId="35" fillId="35" borderId="1" xfId="0" applyNumberFormat="1" applyFont="1" applyFill="1" applyBorder="1" applyAlignment="1" applyProtection="1">
      <alignment horizontal="left" vertical="center"/>
      <protection locked="0"/>
    </xf>
    <xf numFmtId="165" fontId="35" fillId="35" borderId="1" xfId="0" applyNumberFormat="1" applyFont="1" applyFill="1" applyBorder="1" applyAlignment="1" applyProtection="1">
      <alignment horizontal="right" vertical="center"/>
      <protection locked="0"/>
    </xf>
    <xf numFmtId="165" fontId="35" fillId="11" borderId="1" xfId="0" applyNumberFormat="1" applyFont="1" applyFill="1" applyBorder="1" applyAlignment="1" applyProtection="1">
      <alignment horizontal="right" vertical="center"/>
      <protection locked="0"/>
    </xf>
    <xf numFmtId="0" fontId="35" fillId="35" borderId="1" xfId="0" applyFont="1" applyFill="1" applyBorder="1" applyAlignment="1" applyProtection="1">
      <alignment horizontal="center" vertical="center"/>
      <protection locked="0"/>
    </xf>
    <xf numFmtId="167" fontId="28" fillId="35" borderId="1" xfId="0" applyNumberFormat="1" applyFont="1" applyFill="1" applyBorder="1" applyAlignment="1" applyProtection="1">
      <alignment horizontal="right" vertical="center" wrapText="1"/>
      <protection locked="0"/>
    </xf>
    <xf numFmtId="0" fontId="6" fillId="4" borderId="0" xfId="0" applyFont="1" applyFill="1" applyBorder="1" applyAlignment="1" applyProtection="1">
      <alignment horizontal="left" vertical="top" wrapText="1"/>
    </xf>
    <xf numFmtId="0" fontId="7" fillId="5" borderId="0"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10" fillId="5" borderId="0" xfId="0" applyFont="1" applyFill="1" applyBorder="1" applyAlignment="1" applyProtection="1">
      <alignment horizontal="center" vertical="center"/>
    </xf>
    <xf numFmtId="0" fontId="11" fillId="4" borderId="0" xfId="0" applyFont="1" applyFill="1" applyBorder="1" applyAlignment="1" applyProtection="1">
      <alignment horizontal="justify" vertical="center" wrapText="1"/>
    </xf>
    <xf numFmtId="0" fontId="13" fillId="4" borderId="0" xfId="0" applyFont="1" applyFill="1" applyBorder="1" applyAlignment="1" applyProtection="1">
      <alignment horizontal="center"/>
    </xf>
    <xf numFmtId="0" fontId="13" fillId="6" borderId="0" xfId="1" applyFont="1" applyFill="1" applyBorder="1" applyAlignment="1" applyProtection="1">
      <alignment horizontal="left"/>
    </xf>
    <xf numFmtId="0" fontId="50" fillId="4" borderId="0" xfId="0" applyFont="1" applyFill="1" applyBorder="1" applyAlignment="1" applyProtection="1">
      <alignment horizontal="center" vertical="center"/>
      <protection locked="0"/>
    </xf>
    <xf numFmtId="0" fontId="130" fillId="41" borderId="6" xfId="0" applyFont="1" applyFill="1" applyBorder="1" applyAlignment="1" applyProtection="1">
      <alignment horizontal="center" vertical="center" wrapText="1"/>
    </xf>
    <xf numFmtId="0" fontId="130" fillId="41" borderId="3" xfId="0" applyFont="1" applyFill="1" applyBorder="1" applyAlignment="1" applyProtection="1">
      <alignment horizontal="center" vertical="center" wrapText="1"/>
    </xf>
    <xf numFmtId="0" fontId="10" fillId="7" borderId="2" xfId="0" applyFont="1" applyFill="1" applyBorder="1" applyAlignment="1" applyProtection="1">
      <alignment horizontal="left" vertical="center"/>
    </xf>
    <xf numFmtId="0" fontId="10" fillId="7" borderId="0" xfId="0" applyFont="1" applyFill="1" applyBorder="1" applyAlignment="1" applyProtection="1">
      <alignment horizontal="left" vertical="center"/>
    </xf>
    <xf numFmtId="0" fontId="25" fillId="4" borderId="0" xfId="0" applyFont="1" applyFill="1" applyBorder="1" applyAlignment="1" applyProtection="1">
      <alignment horizontal="left" vertical="center" wrapText="1"/>
    </xf>
    <xf numFmtId="0" fontId="21" fillId="9" borderId="6" xfId="0"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wrapText="1"/>
    </xf>
    <xf numFmtId="0" fontId="50" fillId="4" borderId="46" xfId="0" applyFont="1" applyFill="1" applyBorder="1" applyAlignment="1" applyProtection="1">
      <alignment horizontal="center" vertical="center"/>
      <protection locked="0"/>
    </xf>
    <xf numFmtId="0" fontId="21" fillId="9" borderId="1" xfId="0"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xf>
    <xf numFmtId="0" fontId="6" fillId="35" borderId="1" xfId="0" applyFont="1" applyFill="1" applyBorder="1" applyAlignment="1" applyProtection="1">
      <alignment horizontal="center"/>
      <protection locked="0"/>
    </xf>
    <xf numFmtId="0" fontId="21" fillId="9" borderId="7" xfId="0" applyFont="1" applyFill="1" applyBorder="1" applyAlignment="1" applyProtection="1">
      <alignment horizontal="center" vertical="center" wrapText="1"/>
    </xf>
    <xf numFmtId="0" fontId="21" fillId="9" borderId="43" xfId="0" applyFont="1" applyFill="1" applyBorder="1" applyAlignment="1" applyProtection="1">
      <alignment horizontal="center" vertical="center" wrapText="1"/>
    </xf>
    <xf numFmtId="0" fontId="21" fillId="9" borderId="4" xfId="0" applyFont="1" applyFill="1" applyBorder="1" applyAlignment="1" applyProtection="1">
      <alignment horizontal="center" vertical="center" wrapText="1"/>
    </xf>
    <xf numFmtId="0" fontId="6" fillId="35" borderId="4" xfId="0" applyFont="1" applyFill="1" applyBorder="1" applyAlignment="1" applyProtection="1">
      <alignment horizontal="left" vertical="center"/>
      <protection locked="0"/>
    </xf>
    <xf numFmtId="0" fontId="25" fillId="4" borderId="0" xfId="0" applyFont="1" applyFill="1" applyBorder="1" applyAlignment="1" applyProtection="1">
      <alignment vertical="center" wrapText="1"/>
    </xf>
    <xf numFmtId="0" fontId="48" fillId="2" borderId="43" xfId="0" applyFont="1" applyFill="1" applyBorder="1" applyAlignment="1" applyProtection="1">
      <alignment horizontal="center" vertical="center" wrapText="1"/>
    </xf>
    <xf numFmtId="0" fontId="48" fillId="2" borderId="42" xfId="0" applyFont="1" applyFill="1" applyBorder="1" applyAlignment="1" applyProtection="1">
      <alignment horizontal="center" vertical="center" wrapText="1"/>
    </xf>
    <xf numFmtId="0" fontId="48" fillId="2" borderId="4" xfId="0" applyFont="1" applyFill="1" applyBorder="1" applyAlignment="1" applyProtection="1">
      <alignment horizontal="center" vertical="center" wrapText="1"/>
    </xf>
    <xf numFmtId="0" fontId="11" fillId="4" borderId="0" xfId="0" applyFont="1" applyFill="1" applyBorder="1" applyAlignment="1" applyProtection="1">
      <alignment horizontal="left" vertical="center"/>
    </xf>
    <xf numFmtId="0" fontId="11" fillId="4" borderId="0" xfId="0" applyFont="1" applyFill="1" applyBorder="1" applyAlignment="1" applyProtection="1">
      <alignment horizontal="left" vertical="center" wrapText="1"/>
    </xf>
    <xf numFmtId="0" fontId="28" fillId="4" borderId="0" xfId="0" applyFont="1" applyFill="1" applyBorder="1" applyAlignment="1" applyProtection="1">
      <alignment horizontal="left" vertical="top" wrapText="1"/>
    </xf>
    <xf numFmtId="0" fontId="19" fillId="2" borderId="1" xfId="0" applyFont="1" applyFill="1" applyBorder="1" applyAlignment="1" applyProtection="1">
      <alignment horizontal="center" vertical="center" wrapText="1"/>
    </xf>
    <xf numFmtId="0" fontId="19" fillId="2" borderId="43"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30" fillId="7" borderId="0" xfId="0" applyFont="1" applyFill="1" applyBorder="1" applyAlignment="1" applyProtection="1">
      <alignment horizontal="left" vertical="center"/>
    </xf>
    <xf numFmtId="0" fontId="19" fillId="2" borderId="42" xfId="0" applyFont="1" applyFill="1" applyBorder="1" applyAlignment="1" applyProtection="1">
      <alignment horizontal="center" vertical="center" wrapText="1"/>
    </xf>
    <xf numFmtId="0" fontId="19" fillId="2" borderId="44" xfId="0" applyFont="1" applyFill="1" applyBorder="1" applyAlignment="1" applyProtection="1">
      <alignment horizontal="center" vertical="center" wrapText="1"/>
    </xf>
    <xf numFmtId="0" fontId="19" fillId="2" borderId="45" xfId="0" applyFont="1" applyFill="1" applyBorder="1" applyAlignment="1" applyProtection="1">
      <alignment horizontal="center" vertical="center" wrapText="1"/>
    </xf>
    <xf numFmtId="0" fontId="19" fillId="2" borderId="10"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51" fillId="4" borderId="0" xfId="0" applyFont="1" applyFill="1" applyBorder="1" applyAlignment="1" applyProtection="1">
      <alignment horizontal="left" vertical="top" wrapText="1" indent="15"/>
    </xf>
    <xf numFmtId="0" fontId="53" fillId="4" borderId="6" xfId="0" applyFont="1" applyFill="1" applyBorder="1" applyAlignment="1" applyProtection="1">
      <alignment horizontal="center"/>
    </xf>
    <xf numFmtId="0" fontId="53" fillId="4" borderId="3" xfId="0" applyFont="1" applyFill="1" applyBorder="1" applyAlignment="1" applyProtection="1">
      <alignment horizontal="center"/>
    </xf>
    <xf numFmtId="0" fontId="21" fillId="2" borderId="6" xfId="0" applyFont="1" applyFill="1" applyBorder="1" applyAlignment="1" applyProtection="1">
      <alignment horizontal="center" vertical="center" wrapText="1"/>
    </xf>
    <xf numFmtId="0" fontId="21" fillId="2" borderId="7" xfId="0" applyFont="1" applyFill="1" applyBorder="1" applyAlignment="1" applyProtection="1">
      <alignment horizontal="center" vertical="center" wrapText="1"/>
    </xf>
    <xf numFmtId="0" fontId="21" fillId="2" borderId="3" xfId="0" applyFont="1" applyFill="1" applyBorder="1" applyAlignment="1" applyProtection="1">
      <alignment horizontal="center" vertical="center" wrapText="1"/>
    </xf>
    <xf numFmtId="49" fontId="28" fillId="11" borderId="6" xfId="0" applyNumberFormat="1" applyFont="1" applyFill="1" applyBorder="1" applyAlignment="1" applyProtection="1">
      <alignment horizontal="center" vertical="center" wrapText="1"/>
      <protection locked="0"/>
    </xf>
    <xf numFmtId="49" fontId="28" fillId="11" borderId="3"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xf>
    <xf numFmtId="0" fontId="33" fillId="4" borderId="12" xfId="0" applyFont="1" applyFill="1" applyBorder="1" applyAlignment="1" applyProtection="1">
      <alignment horizontal="left" vertical="center" wrapText="1"/>
    </xf>
    <xf numFmtId="0" fontId="43" fillId="4" borderId="0" xfId="0" applyFont="1" applyFill="1" applyBorder="1" applyAlignment="1" applyProtection="1">
      <alignment horizontal="left" vertical="center" wrapText="1"/>
    </xf>
    <xf numFmtId="0" fontId="25" fillId="4" borderId="0" xfId="0" applyFont="1" applyFill="1" applyBorder="1" applyAlignment="1" applyProtection="1">
      <alignment horizontal="left" wrapText="1"/>
    </xf>
    <xf numFmtId="0" fontId="10" fillId="2" borderId="1" xfId="0" applyFont="1" applyFill="1" applyBorder="1" applyAlignment="1" applyProtection="1">
      <alignment horizontal="center" vertical="center"/>
    </xf>
    <xf numFmtId="0" fontId="19" fillId="2" borderId="1" xfId="0" applyFont="1" applyFill="1" applyBorder="1" applyAlignment="1" applyProtection="1">
      <alignment vertical="center" wrapText="1"/>
    </xf>
    <xf numFmtId="0" fontId="25" fillId="37" borderId="0" xfId="0" applyFont="1" applyFill="1" applyBorder="1" applyAlignment="1" applyProtection="1">
      <alignment horizontal="left" vertical="top" wrapText="1"/>
    </xf>
    <xf numFmtId="0" fontId="10" fillId="2" borderId="6" xfId="0" applyFont="1" applyFill="1" applyBorder="1" applyAlignment="1" applyProtection="1">
      <alignment horizontal="center" vertical="center" wrapText="1"/>
    </xf>
    <xf numFmtId="0" fontId="10" fillId="2" borderId="7"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wrapText="1"/>
    </xf>
    <xf numFmtId="0" fontId="25" fillId="4" borderId="0" xfId="0" applyFont="1" applyFill="1" applyBorder="1" applyAlignment="1" applyProtection="1">
      <alignment horizontal="left" vertical="top" wrapText="1"/>
    </xf>
    <xf numFmtId="0" fontId="63" fillId="4" borderId="0" xfId="0" applyFont="1" applyFill="1" applyBorder="1" applyAlignment="1" applyProtection="1">
      <alignment horizontal="left" vertical="center" wrapText="1"/>
    </xf>
    <xf numFmtId="0" fontId="64" fillId="4" borderId="0" xfId="0" applyFont="1" applyFill="1" applyBorder="1" applyAlignment="1" applyProtection="1">
      <alignment horizontal="left" vertical="center" wrapText="1"/>
    </xf>
    <xf numFmtId="0" fontId="10" fillId="2" borderId="1" xfId="0" applyFont="1" applyFill="1" applyBorder="1" applyAlignment="1" applyProtection="1">
      <alignment horizontal="center" vertical="center" wrapText="1"/>
    </xf>
    <xf numFmtId="0" fontId="70" fillId="4" borderId="0" xfId="0" applyFont="1" applyFill="1" applyBorder="1" applyAlignment="1" applyProtection="1">
      <alignment horizontal="center" vertical="center" wrapText="1"/>
    </xf>
    <xf numFmtId="49" fontId="25" fillId="4" borderId="0" xfId="0" applyNumberFormat="1" applyFont="1" applyFill="1" applyBorder="1" applyAlignment="1" applyProtection="1">
      <alignment horizontal="left" vertical="center" wrapText="1"/>
    </xf>
    <xf numFmtId="0" fontId="30" fillId="2" borderId="1" xfId="0" applyFont="1" applyFill="1" applyBorder="1" applyAlignment="1" applyProtection="1">
      <alignment horizontal="center" vertical="center" wrapText="1"/>
    </xf>
    <xf numFmtId="0" fontId="30" fillId="2" borderId="6" xfId="0" applyFont="1" applyFill="1" applyBorder="1" applyAlignment="1" applyProtection="1">
      <alignment horizontal="center" vertical="center"/>
    </xf>
    <xf numFmtId="0" fontId="30" fillId="2" borderId="7"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0" fontId="19" fillId="2" borderId="6" xfId="0" applyFont="1" applyFill="1" applyBorder="1" applyAlignment="1" applyProtection="1">
      <alignment horizontal="center" vertical="center"/>
    </xf>
    <xf numFmtId="0" fontId="19" fillId="2" borderId="7"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4" fontId="19" fillId="4" borderId="0" xfId="0" applyNumberFormat="1"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xf>
    <xf numFmtId="0" fontId="21" fillId="2" borderId="1" xfId="0" applyFont="1" applyFill="1" applyBorder="1" applyAlignment="1" applyProtection="1">
      <alignment horizontal="left" vertical="center" wrapText="1"/>
    </xf>
    <xf numFmtId="4" fontId="21" fillId="10" borderId="6" xfId="0" applyNumberFormat="1" applyFont="1" applyFill="1" applyBorder="1" applyAlignment="1" applyProtection="1">
      <alignment horizontal="right" vertical="center" wrapText="1"/>
    </xf>
    <xf numFmtId="165" fontId="21" fillId="10" borderId="3" xfId="0" applyNumberFormat="1" applyFont="1" applyFill="1" applyBorder="1" applyAlignment="1" applyProtection="1">
      <alignment horizontal="left" vertical="center" wrapText="1"/>
    </xf>
    <xf numFmtId="0" fontId="78" fillId="4" borderId="0" xfId="0" applyFont="1" applyFill="1" applyBorder="1" applyAlignment="1" applyProtection="1">
      <alignment horizontal="left" vertical="center" wrapText="1"/>
    </xf>
    <xf numFmtId="0" fontId="22" fillId="11" borderId="1" xfId="0" applyFont="1" applyFill="1" applyBorder="1" applyAlignment="1" applyProtection="1">
      <alignment horizontal="left" vertical="center" wrapText="1"/>
    </xf>
    <xf numFmtId="0" fontId="67" fillId="11" borderId="1" xfId="0" applyFont="1" applyFill="1" applyBorder="1" applyAlignment="1" applyProtection="1">
      <alignment horizontal="left" vertical="center" wrapText="1"/>
    </xf>
    <xf numFmtId="4" fontId="67" fillId="4" borderId="6" xfId="0" applyNumberFormat="1" applyFont="1" applyFill="1" applyBorder="1" applyAlignment="1" applyProtection="1">
      <alignment horizontal="right" vertical="center" wrapText="1"/>
    </xf>
    <xf numFmtId="165" fontId="67" fillId="4" borderId="3" xfId="0" applyNumberFormat="1" applyFont="1" applyFill="1" applyBorder="1" applyAlignment="1" applyProtection="1">
      <alignment horizontal="left" vertical="center" wrapText="1"/>
    </xf>
    <xf numFmtId="4" fontId="22" fillId="4" borderId="6" xfId="0" applyNumberFormat="1" applyFont="1" applyFill="1" applyBorder="1" applyAlignment="1" applyProtection="1">
      <alignment horizontal="right" vertical="center" wrapText="1"/>
    </xf>
    <xf numFmtId="165" fontId="22" fillId="4" borderId="3" xfId="0" applyNumberFormat="1" applyFont="1" applyFill="1" applyBorder="1" applyAlignment="1" applyProtection="1">
      <alignment horizontal="left" vertical="center" wrapText="1"/>
    </xf>
    <xf numFmtId="0" fontId="22" fillId="11" borderId="1" xfId="0" applyFont="1" applyFill="1" applyBorder="1" applyAlignment="1" applyProtection="1">
      <alignment horizontal="right" vertical="center" wrapText="1"/>
    </xf>
    <xf numFmtId="4" fontId="22" fillId="11" borderId="6" xfId="0" applyNumberFormat="1" applyFont="1" applyFill="1" applyBorder="1" applyAlignment="1" applyProtection="1">
      <alignment horizontal="right" vertical="center" wrapText="1"/>
    </xf>
    <xf numFmtId="0" fontId="21" fillId="2" borderId="1" xfId="0" applyFont="1" applyFill="1" applyBorder="1" applyAlignment="1" applyProtection="1">
      <alignment horizontal="right" vertical="center"/>
    </xf>
    <xf numFmtId="0" fontId="22" fillId="4" borderId="13" xfId="0" applyFont="1" applyFill="1" applyBorder="1" applyAlignment="1" applyProtection="1">
      <alignment horizontal="center" vertical="center" wrapText="1"/>
    </xf>
    <xf numFmtId="0" fontId="23" fillId="4" borderId="0" xfId="1" applyFont="1" applyFill="1" applyBorder="1" applyAlignment="1" applyProtection="1">
      <alignment horizontal="left" vertical="center"/>
    </xf>
    <xf numFmtId="0" fontId="73" fillId="4" borderId="0" xfId="0" applyFont="1" applyFill="1" applyBorder="1" applyAlignment="1" applyProtection="1">
      <alignment horizontal="left" vertical="center" wrapText="1"/>
    </xf>
    <xf numFmtId="0" fontId="21" fillId="2" borderId="1" xfId="0" applyFont="1" applyFill="1" applyBorder="1" applyAlignment="1" applyProtection="1">
      <alignment horizontal="center" vertical="center"/>
    </xf>
    <xf numFmtId="165" fontId="22" fillId="11" borderId="3" xfId="0" applyNumberFormat="1" applyFont="1" applyFill="1" applyBorder="1" applyAlignment="1" applyProtection="1">
      <alignment horizontal="left" vertical="center" wrapText="1"/>
    </xf>
    <xf numFmtId="0" fontId="82" fillId="4" borderId="0" xfId="0" applyFont="1" applyFill="1" applyBorder="1" applyAlignment="1" applyProtection="1">
      <alignment horizontal="left" vertical="top" wrapText="1" indent="1"/>
    </xf>
    <xf numFmtId="0" fontId="19" fillId="2" borderId="18" xfId="0" applyFont="1" applyFill="1" applyBorder="1" applyAlignment="1" applyProtection="1">
      <alignment horizontal="center" vertical="center" wrapText="1"/>
    </xf>
    <xf numFmtId="0" fontId="91" fillId="4" borderId="0" xfId="0" applyFont="1" applyFill="1" applyBorder="1" applyAlignment="1" applyProtection="1">
      <alignment horizontal="right" vertical="center" wrapText="1"/>
    </xf>
    <xf numFmtId="169" fontId="91" fillId="4" borderId="0" xfId="0" applyNumberFormat="1" applyFont="1" applyFill="1" applyBorder="1" applyAlignment="1" applyProtection="1">
      <alignment horizontal="right" vertical="center" wrapText="1"/>
    </xf>
    <xf numFmtId="0" fontId="19" fillId="4" borderId="0" xfId="0" applyFont="1" applyFill="1" applyBorder="1" applyAlignment="1" applyProtection="1">
      <alignment horizontal="left" vertical="center" wrapText="1"/>
    </xf>
    <xf numFmtId="0" fontId="19" fillId="4" borderId="0" xfId="0" applyFont="1" applyFill="1" applyBorder="1" applyAlignment="1" applyProtection="1">
      <alignment horizontal="center" vertical="center"/>
    </xf>
    <xf numFmtId="0" fontId="19" fillId="4" borderId="0" xfId="0" applyFont="1" applyFill="1" applyBorder="1" applyAlignment="1" applyProtection="1">
      <alignment horizontal="center" vertical="center" wrapText="1"/>
    </xf>
    <xf numFmtId="165" fontId="50" fillId="4" borderId="3" xfId="0" applyNumberFormat="1" applyFont="1" applyFill="1" applyBorder="1" applyAlignment="1" applyProtection="1">
      <alignment horizontal="left" vertical="center" wrapText="1"/>
    </xf>
    <xf numFmtId="0" fontId="22" fillId="4" borderId="24" xfId="0" applyFont="1" applyFill="1" applyBorder="1" applyAlignment="1" applyProtection="1">
      <alignment horizontal="center" vertical="center" wrapText="1"/>
    </xf>
    <xf numFmtId="165" fontId="29" fillId="4" borderId="3" xfId="0" applyNumberFormat="1" applyFont="1" applyFill="1" applyBorder="1" applyAlignment="1" applyProtection="1">
      <alignment horizontal="left" vertical="center" wrapText="1"/>
    </xf>
    <xf numFmtId="165" fontId="29" fillId="4" borderId="13" xfId="0" applyNumberFormat="1" applyFont="1" applyFill="1" applyBorder="1" applyAlignment="1" applyProtection="1">
      <alignment horizontal="left" vertical="center" wrapText="1"/>
    </xf>
    <xf numFmtId="165" fontId="29" fillId="11" borderId="3" xfId="0" applyNumberFormat="1" applyFont="1" applyFill="1" applyBorder="1" applyAlignment="1" applyProtection="1">
      <alignment horizontal="left" vertical="center" wrapText="1"/>
    </xf>
    <xf numFmtId="0" fontId="132" fillId="4" borderId="0" xfId="0" applyFont="1" applyFill="1" applyBorder="1" applyAlignment="1" applyProtection="1">
      <alignment horizontal="left" vertical="center" wrapText="1"/>
    </xf>
    <xf numFmtId="0" fontId="22" fillId="11" borderId="43" xfId="0" applyFont="1" applyFill="1" applyBorder="1" applyAlignment="1" applyProtection="1">
      <alignment horizontal="left" vertical="center" wrapText="1"/>
    </xf>
    <xf numFmtId="0" fontId="22" fillId="11" borderId="42" xfId="0" applyFont="1" applyFill="1" applyBorder="1" applyAlignment="1" applyProtection="1">
      <alignment horizontal="left" vertical="center" wrapText="1"/>
    </xf>
    <xf numFmtId="0" fontId="22" fillId="11" borderId="4" xfId="0" applyFont="1" applyFill="1" applyBorder="1" applyAlignment="1" applyProtection="1">
      <alignment horizontal="left" vertical="center" wrapText="1"/>
    </xf>
    <xf numFmtId="0" fontId="10" fillId="4" borderId="0" xfId="0" applyFont="1" applyFill="1" applyBorder="1" applyAlignment="1" applyProtection="1">
      <alignment horizontal="right" vertical="center" wrapText="1"/>
    </xf>
    <xf numFmtId="169" fontId="10" fillId="4" borderId="0" xfId="0" applyNumberFormat="1" applyFont="1" applyFill="1" applyBorder="1" applyAlignment="1" applyProtection="1">
      <alignment horizontal="right" vertical="center" wrapText="1"/>
    </xf>
    <xf numFmtId="0" fontId="0" fillId="0" borderId="27" xfId="0" applyBorder="1" applyAlignment="1">
      <alignment horizontal="center" wrapText="1"/>
    </xf>
    <xf numFmtId="0" fontId="0" fillId="0" borderId="27" xfId="0" applyBorder="1" applyAlignment="1">
      <alignment horizontal="center"/>
    </xf>
    <xf numFmtId="0" fontId="19" fillId="10" borderId="11" xfId="0" applyFont="1" applyFill="1" applyBorder="1" applyAlignment="1">
      <alignment horizontal="center" vertical="center"/>
    </xf>
    <xf numFmtId="0" fontId="19" fillId="10" borderId="36" xfId="0" applyFont="1" applyFill="1" applyBorder="1" applyAlignment="1">
      <alignment horizontal="center" vertical="center" wrapText="1"/>
    </xf>
    <xf numFmtId="0" fontId="103" fillId="4" borderId="27" xfId="0" applyFont="1" applyFill="1" applyBorder="1" applyAlignment="1">
      <alignment horizontal="center" vertical="center"/>
    </xf>
    <xf numFmtId="0" fontId="103" fillId="4" borderId="27" xfId="0" applyFont="1" applyFill="1" applyBorder="1" applyAlignment="1">
      <alignment horizontal="center" vertical="center" wrapText="1"/>
    </xf>
    <xf numFmtId="0" fontId="103" fillId="8" borderId="27" xfId="0" applyFont="1" applyFill="1" applyBorder="1" applyAlignment="1">
      <alignment horizontal="center" vertical="center"/>
    </xf>
    <xf numFmtId="0" fontId="103" fillId="28" borderId="27" xfId="0" applyFont="1" applyFill="1" applyBorder="1" applyAlignment="1">
      <alignment horizontal="center" vertical="center"/>
    </xf>
    <xf numFmtId="0" fontId="103" fillId="29" borderId="27" xfId="0" applyFont="1" applyFill="1" applyBorder="1" applyAlignment="1">
      <alignment horizontal="center" vertical="center"/>
    </xf>
  </cellXfs>
  <cellStyles count="13">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3" xfId="10"/>
    <cellStyle name="Normal 2 4" xfId="11"/>
    <cellStyle name="Normal 4" xfId="12"/>
  </cellStyles>
  <dxfs count="43">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FF"/>
        <name val="Calibri"/>
      </font>
    </dxf>
    <dxf>
      <font>
        <sz val="11"/>
        <color rgb="FF000000"/>
        <name val="Calibri"/>
      </font>
      <fill>
        <patternFill>
          <bgColor rgb="FFFFFFFF"/>
        </patternFill>
      </fill>
    </dxf>
    <dxf>
      <font>
        <sz val="11"/>
        <color rgb="FF000000"/>
        <name val="Calibri"/>
      </font>
      <fill>
        <patternFill>
          <bgColor rgb="FFFFFFFF"/>
        </patternFill>
      </fill>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bgColor theme="0"/>
        </patternFill>
      </fill>
      <border>
        <left/>
        <right/>
        <top/>
        <bottom/>
        <vertical/>
        <horizontal/>
      </border>
    </dxf>
    <dxf>
      <font>
        <color theme="0"/>
      </font>
      <fill>
        <patternFill patternType="solid">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969696"/>
      <color rgb="FFDEDCE6"/>
      <color rgb="FFFFCC99"/>
      <color rgb="FFC282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rgbClr val="C0504D"/>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Dades!$AM$653:$AN$653</c:f>
              <c:strCache>
                <c:ptCount val="2"/>
                <c:pt idx="0">
                  <c:v>Abast 1</c:v>
                </c:pt>
                <c:pt idx="1">
                  <c:v>Abast 2</c:v>
                </c:pt>
              </c:strCache>
            </c:strRef>
          </c:cat>
          <c:val>
            <c:numRef>
              <c:f>Dades!$AM$654:$AN$654</c:f>
              <c:numCache>
                <c:formatCode>#,##0.00</c:formatCode>
                <c:ptCount val="2"/>
                <c:pt idx="0">
                  <c:v>0</c:v>
                </c:pt>
                <c:pt idx="1">
                  <c:v>0</c:v>
                </c:pt>
              </c:numCache>
            </c:numRef>
          </c:val>
        </c:ser>
        <c:dLbls>
          <c:showLegendKey val="0"/>
          <c:showVal val="0"/>
          <c:showCatName val="0"/>
          <c:showSerName val="0"/>
          <c:showPercent val="0"/>
          <c:showBubbleSize val="0"/>
        </c:dLbls>
        <c:gapWidth val="150"/>
        <c:axId val="-1300203264"/>
        <c:axId val="-1300185856"/>
      </c:barChart>
      <c:catAx>
        <c:axId val="-1300203264"/>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300185856"/>
        <c:crosses val="autoZero"/>
        <c:auto val="1"/>
        <c:lblAlgn val="ctr"/>
        <c:lblOffset val="100"/>
        <c:noMultiLvlLbl val="1"/>
      </c:catAx>
      <c:valAx>
        <c:axId val="-1300185856"/>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30020326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 del rati escollit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Dades!$AL$663:$AL$663</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Dades!$AM$661:$AP$661</c:f>
              <c:strCache>
                <c:ptCount val="4"/>
                <c:pt idx="3">
                  <c:v>2020</c:v>
                </c:pt>
              </c:strCache>
            </c:strRef>
          </c:cat>
          <c:val>
            <c:numRef>
              <c:f>Dades!$AM$663:$AP$663</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300182592"/>
        <c:axId val="-1300195104"/>
      </c:barChart>
      <c:catAx>
        <c:axId val="-130018259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300195104"/>
        <c:crosses val="autoZero"/>
        <c:auto val="1"/>
        <c:lblAlgn val="ctr"/>
        <c:lblOffset val="100"/>
        <c:noMultiLvlLbl val="1"/>
      </c:catAx>
      <c:valAx>
        <c:axId val="-130019510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300182592"/>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Abast 1 </a:t>
            </a:r>
          </a:p>
        </c:rich>
      </c:tx>
      <c:layout/>
      <c:overlay val="0"/>
      <c:spPr>
        <a:noFill/>
        <a:ln w="25560">
          <a:noFill/>
        </a:ln>
      </c:spPr>
    </c:title>
    <c:autoTitleDeleted val="0"/>
    <c:plotArea>
      <c:layout>
        <c:manualLayout>
          <c:layoutTarget val="inner"/>
          <c:xMode val="edge"/>
          <c:yMode val="edge"/>
          <c:x val="0.20872576177285301"/>
          <c:y val="0.30332225913621302"/>
          <c:w val="0.72541551246537395"/>
          <c:h val="0.61760797342192697"/>
        </c:manualLayout>
      </c:layout>
      <c:barChart>
        <c:barDir val="bar"/>
        <c:grouping val="clustered"/>
        <c:varyColors val="0"/>
        <c:ser>
          <c:idx val="0"/>
          <c:order val="0"/>
          <c:spPr>
            <a:solidFill>
              <a:srgbClr val="FAC090"/>
            </a:solidFill>
            <a:ln>
              <a:noFill/>
            </a:ln>
          </c:spPr>
          <c:invertIfNegative val="0"/>
          <c:dPt>
            <c:idx val="0"/>
            <c:invertIfNegative val="0"/>
            <c:bubble3D val="0"/>
            <c:spPr>
              <a:solidFill>
                <a:srgbClr val="FFCC66"/>
              </a:solidFill>
              <a:ln>
                <a:noFill/>
              </a:ln>
            </c:spPr>
          </c:dPt>
          <c:dPt>
            <c:idx val="1"/>
            <c:invertIfNegative val="0"/>
            <c:bubble3D val="0"/>
            <c:spPr>
              <a:solidFill>
                <a:srgbClr val="D99694"/>
              </a:solidFill>
              <a:ln>
                <a:noFill/>
              </a:ln>
            </c:spPr>
          </c:dPt>
          <c:dPt>
            <c:idx val="2"/>
            <c:invertIfNegative val="0"/>
            <c:bubble3D val="0"/>
            <c:spPr>
              <a:solidFill>
                <a:srgbClr val="B3A2C7"/>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Dades!$AL$657:$AO$657</c:f>
              <c:strCache>
                <c:ptCount val="4"/>
                <c:pt idx="0">
                  <c:v>Procés</c:v>
                </c:pt>
                <c:pt idx="1">
                  <c:v>Fluorats</c:v>
                </c:pt>
                <c:pt idx="2">
                  <c:v>Desplaçaments vehicles</c:v>
                </c:pt>
                <c:pt idx="3">
                  <c:v>Instal·lacions fixes</c:v>
                </c:pt>
              </c:strCache>
            </c:strRef>
          </c:cat>
          <c:val>
            <c:numRef>
              <c:f>Dades!$AL$658:$AO$658</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00"/>
        <c:axId val="-1300192384"/>
        <c:axId val="-1300183136"/>
      </c:barChart>
      <c:catAx>
        <c:axId val="-13001923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300183136"/>
        <c:crosses val="autoZero"/>
        <c:auto val="1"/>
        <c:lblAlgn val="ctr"/>
        <c:lblOffset val="100"/>
        <c:noMultiLvlLbl val="1"/>
      </c:catAx>
      <c:valAx>
        <c:axId val="-1300183136"/>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3001923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 de carboni segons abast 
(t CO2 eq)</a:t>
            </a:r>
          </a:p>
        </c:rich>
      </c:tx>
      <c:layout/>
      <c:overlay val="0"/>
      <c:spPr>
        <a:noFill/>
        <a:ln w="25560">
          <a:noFill/>
        </a:ln>
      </c:spPr>
    </c:title>
    <c:autoTitleDeleted val="0"/>
    <c:plotArea>
      <c:layout>
        <c:manualLayout>
          <c:layoutTarget val="inner"/>
          <c:xMode val="edge"/>
          <c:yMode val="edge"/>
          <c:x val="0.133013273086699"/>
          <c:y val="0.39627089584226299"/>
          <c:w val="0.82029558505130395"/>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rgbClr val="C0504D"/>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Dades!$D$536:$E$536</c:f>
              <c:strCache>
                <c:ptCount val="2"/>
                <c:pt idx="0">
                  <c:v>Abast 1</c:v>
                </c:pt>
                <c:pt idx="1">
                  <c:v>Abast 2</c:v>
                </c:pt>
              </c:strCache>
            </c:strRef>
          </c:cat>
          <c:val>
            <c:numRef>
              <c:f>Dades!$D$537:$E$537</c:f>
              <c:numCache>
                <c:formatCode>#,##0.00</c:formatCode>
                <c:ptCount val="2"/>
                <c:pt idx="0">
                  <c:v>0</c:v>
                </c:pt>
                <c:pt idx="1">
                  <c:v>0</c:v>
                </c:pt>
              </c:numCache>
            </c:numRef>
          </c:val>
        </c:ser>
        <c:dLbls>
          <c:showLegendKey val="0"/>
          <c:showVal val="0"/>
          <c:showCatName val="0"/>
          <c:showSerName val="0"/>
          <c:showPercent val="0"/>
          <c:showBubbleSize val="0"/>
        </c:dLbls>
        <c:gapWidth val="150"/>
        <c:axId val="-1300186400"/>
        <c:axId val="-1300190208"/>
      </c:barChart>
      <c:catAx>
        <c:axId val="-130018640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300190208"/>
        <c:crosses val="autoZero"/>
        <c:auto val="1"/>
        <c:lblAlgn val="ctr"/>
        <c:lblOffset val="100"/>
        <c:noMultiLvlLbl val="1"/>
      </c:catAx>
      <c:valAx>
        <c:axId val="-130019020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30018640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 del rati escollit
(t CO2eq/ud)</a:t>
            </a:r>
          </a:p>
        </c:rich>
      </c:tx>
      <c:layout/>
      <c:overlay val="0"/>
      <c:spPr>
        <a:noFill/>
        <a:ln w="25560">
          <a:noFill/>
        </a:ln>
      </c:spPr>
    </c:title>
    <c:autoTitleDeleted val="0"/>
    <c:plotArea>
      <c:layout/>
      <c:barChart>
        <c:barDir val="col"/>
        <c:grouping val="clustered"/>
        <c:varyColors val="0"/>
        <c:ser>
          <c:idx val="0"/>
          <c:order val="0"/>
          <c:tx>
            <c:strRef>
              <c:f>Dades!$C$546:$C$546</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Dades!$D$544:$G$544</c:f>
              <c:strCache>
                <c:ptCount val="4"/>
                <c:pt idx="3">
                  <c:v>2020</c:v>
                </c:pt>
              </c:strCache>
            </c:strRef>
          </c:cat>
          <c:val>
            <c:numRef>
              <c:f>Dades!$D$546:$G$546</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300186944"/>
        <c:axId val="-1300182048"/>
      </c:barChart>
      <c:catAx>
        <c:axId val="-1300186944"/>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300182048"/>
        <c:crosses val="autoZero"/>
        <c:auto val="1"/>
        <c:lblAlgn val="ctr"/>
        <c:lblOffset val="100"/>
        <c:noMultiLvlLbl val="1"/>
      </c:catAx>
      <c:valAx>
        <c:axId val="-130018204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300186944"/>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Abast 1 </a:t>
            </a:r>
          </a:p>
        </c:rich>
      </c:tx>
      <c:layout/>
      <c:overlay val="0"/>
      <c:spPr>
        <a:noFill/>
        <a:ln w="25560">
          <a:noFill/>
        </a:ln>
      </c:spPr>
    </c:title>
    <c:autoTitleDeleted val="0"/>
    <c:plotArea>
      <c:layout>
        <c:manualLayout>
          <c:layoutTarget val="inner"/>
          <c:xMode val="edge"/>
          <c:yMode val="edge"/>
          <c:x val="0.20870527991142501"/>
          <c:y val="0.30283400809716599"/>
          <c:w val="0.72555532489101104"/>
          <c:h val="0.61659919028340104"/>
        </c:manualLayout>
      </c:layout>
      <c:barChart>
        <c:barDir val="bar"/>
        <c:grouping val="clustered"/>
        <c:varyColors val="0"/>
        <c:ser>
          <c:idx val="0"/>
          <c:order val="0"/>
          <c:spPr>
            <a:solidFill>
              <a:srgbClr val="FAC090"/>
            </a:solidFill>
            <a:ln>
              <a:noFill/>
            </a:ln>
          </c:spPr>
          <c:invertIfNegative val="0"/>
          <c:dPt>
            <c:idx val="0"/>
            <c:invertIfNegative val="0"/>
            <c:bubble3D val="0"/>
            <c:spPr>
              <a:solidFill>
                <a:srgbClr val="FFCC66"/>
              </a:solidFill>
              <a:ln>
                <a:noFill/>
              </a:ln>
            </c:spPr>
          </c:dPt>
          <c:dPt>
            <c:idx val="1"/>
            <c:invertIfNegative val="0"/>
            <c:bubble3D val="0"/>
            <c:spPr>
              <a:solidFill>
                <a:srgbClr val="D99694"/>
              </a:solidFill>
              <a:ln>
                <a:noFill/>
              </a:ln>
            </c:spPr>
          </c:dPt>
          <c:dPt>
            <c:idx val="2"/>
            <c:invertIfNegative val="0"/>
            <c:bubble3D val="0"/>
            <c:spPr>
              <a:solidFill>
                <a:srgbClr val="B3A2C7"/>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Dades!$D$540:$G$540</c:f>
              <c:strCache>
                <c:ptCount val="4"/>
                <c:pt idx="0">
                  <c:v>Procés</c:v>
                </c:pt>
                <c:pt idx="1">
                  <c:v>Fluorats</c:v>
                </c:pt>
                <c:pt idx="2">
                  <c:v>Transport</c:v>
                </c:pt>
                <c:pt idx="3">
                  <c:v>Instal·lacions fixes</c:v>
                </c:pt>
              </c:strCache>
            </c:strRef>
          </c:cat>
          <c:val>
            <c:numRef>
              <c:f>Dades!$D$541:$G$541</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00"/>
        <c:axId val="-1300178240"/>
        <c:axId val="-1300209792"/>
      </c:barChart>
      <c:catAx>
        <c:axId val="-130017824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300209792"/>
        <c:crosses val="autoZero"/>
        <c:auto val="1"/>
        <c:lblAlgn val="ctr"/>
        <c:lblOffset val="100"/>
        <c:noMultiLvlLbl val="1"/>
      </c:catAx>
      <c:valAx>
        <c:axId val="-130020979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30017824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3</xdr:col>
      <xdr:colOff>143640</xdr:colOff>
      <xdr:row>4</xdr:row>
      <xdr:rowOff>41760</xdr:rowOff>
    </xdr:to>
    <xdr:pic>
      <xdr:nvPicPr>
        <xdr:cNvPr id="2" name="Imatge 1"/>
        <xdr:cNvPicPr/>
      </xdr:nvPicPr>
      <xdr:blipFill>
        <a:blip xmlns:r="http://schemas.openxmlformats.org/officeDocument/2006/relationships" r:embed="rId1"/>
        <a:stretch/>
      </xdr:blipFill>
      <xdr:spPr>
        <a:xfrm>
          <a:off x="360" y="0"/>
          <a:ext cx="1583280" cy="100368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861645</xdr:colOff>
      <xdr:row>13</xdr:row>
      <xdr:rowOff>4331</xdr:rowOff>
    </xdr:from>
    <xdr:to>
      <xdr:col>19</xdr:col>
      <xdr:colOff>88322</xdr:colOff>
      <xdr:row>23</xdr:row>
      <xdr:rowOff>153855</xdr:rowOff>
    </xdr:to>
    <xdr:graphicFrame macro="">
      <xdr:nvGraphicFramePr>
        <xdr:cNvPr id="19"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714240</xdr:colOff>
      <xdr:row>36</xdr:row>
      <xdr:rowOff>360</xdr:rowOff>
    </xdr:from>
    <xdr:to>
      <xdr:col>5</xdr:col>
      <xdr:colOff>822240</xdr:colOff>
      <xdr:row>40</xdr:row>
      <xdr:rowOff>183600</xdr:rowOff>
    </xdr:to>
    <xdr:sp macro="" textlink="">
      <xdr:nvSpPr>
        <xdr:cNvPr id="20" name="CustomShape 1"/>
        <xdr:cNvSpPr/>
      </xdr:nvSpPr>
      <xdr:spPr>
        <a:xfrm>
          <a:off x="4624560" y="5891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44</xdr:row>
      <xdr:rowOff>360</xdr:rowOff>
    </xdr:from>
    <xdr:to>
      <xdr:col>5</xdr:col>
      <xdr:colOff>831960</xdr:colOff>
      <xdr:row>48</xdr:row>
      <xdr:rowOff>183600</xdr:rowOff>
    </xdr:to>
    <xdr:sp macro="" textlink="">
      <xdr:nvSpPr>
        <xdr:cNvPr id="21" name="CustomShape 1"/>
        <xdr:cNvSpPr/>
      </xdr:nvSpPr>
      <xdr:spPr>
        <a:xfrm>
          <a:off x="4634280" y="697068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52</xdr:row>
      <xdr:rowOff>0</xdr:rowOff>
    </xdr:from>
    <xdr:to>
      <xdr:col>5</xdr:col>
      <xdr:colOff>831960</xdr:colOff>
      <xdr:row>56</xdr:row>
      <xdr:rowOff>183960</xdr:rowOff>
    </xdr:to>
    <xdr:sp macro="" textlink="">
      <xdr:nvSpPr>
        <xdr:cNvPr id="22" name="CustomShape 1"/>
        <xdr:cNvSpPr/>
      </xdr:nvSpPr>
      <xdr:spPr>
        <a:xfrm>
          <a:off x="4634280" y="8049240"/>
          <a:ext cx="108000" cy="7552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11</xdr:col>
      <xdr:colOff>40225</xdr:colOff>
      <xdr:row>41</xdr:row>
      <xdr:rowOff>51955</xdr:rowOff>
    </xdr:from>
    <xdr:to>
      <xdr:col>20</xdr:col>
      <xdr:colOff>77035</xdr:colOff>
      <xdr:row>58</xdr:row>
      <xdr:rowOff>152017</xdr:rowOff>
    </xdr:to>
    <xdr:graphicFrame macro="">
      <xdr:nvGraphicFramePr>
        <xdr:cNvPr id="23"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723960</xdr:colOff>
      <xdr:row>52</xdr:row>
      <xdr:rowOff>0</xdr:rowOff>
    </xdr:from>
    <xdr:to>
      <xdr:col>5</xdr:col>
      <xdr:colOff>831960</xdr:colOff>
      <xdr:row>56</xdr:row>
      <xdr:rowOff>183960</xdr:rowOff>
    </xdr:to>
    <xdr:sp macro="" textlink="">
      <xdr:nvSpPr>
        <xdr:cNvPr id="24" name="CustomShape 1"/>
        <xdr:cNvSpPr/>
      </xdr:nvSpPr>
      <xdr:spPr>
        <a:xfrm>
          <a:off x="4634280" y="8049240"/>
          <a:ext cx="108000" cy="7552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60</xdr:row>
      <xdr:rowOff>720</xdr:rowOff>
    </xdr:from>
    <xdr:to>
      <xdr:col>5</xdr:col>
      <xdr:colOff>831960</xdr:colOff>
      <xdr:row>64</xdr:row>
      <xdr:rowOff>183240</xdr:rowOff>
    </xdr:to>
    <xdr:sp macro="" textlink="">
      <xdr:nvSpPr>
        <xdr:cNvPr id="25" name="CustomShape 1"/>
        <xdr:cNvSpPr/>
      </xdr:nvSpPr>
      <xdr:spPr>
        <a:xfrm>
          <a:off x="4634280" y="9128520"/>
          <a:ext cx="108000" cy="75420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60</xdr:row>
      <xdr:rowOff>720</xdr:rowOff>
    </xdr:from>
    <xdr:to>
      <xdr:col>5</xdr:col>
      <xdr:colOff>831960</xdr:colOff>
      <xdr:row>64</xdr:row>
      <xdr:rowOff>183240</xdr:rowOff>
    </xdr:to>
    <xdr:sp macro="" textlink="">
      <xdr:nvSpPr>
        <xdr:cNvPr id="26" name="CustomShape 1"/>
        <xdr:cNvSpPr/>
      </xdr:nvSpPr>
      <xdr:spPr>
        <a:xfrm>
          <a:off x="4634280" y="9128520"/>
          <a:ext cx="108000" cy="75420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12</xdr:col>
      <xdr:colOff>399240</xdr:colOff>
      <xdr:row>23</xdr:row>
      <xdr:rowOff>57151</xdr:rowOff>
    </xdr:from>
    <xdr:to>
      <xdr:col>20</xdr:col>
      <xdr:colOff>268431</xdr:colOff>
      <xdr:row>30</xdr:row>
      <xdr:rowOff>95336</xdr:rowOff>
    </xdr:to>
    <xdr:graphicFrame macro="">
      <xdr:nvGraphicFramePr>
        <xdr:cNvPr id="28"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360</xdr:colOff>
      <xdr:row>0</xdr:row>
      <xdr:rowOff>11160</xdr:rowOff>
    </xdr:from>
    <xdr:to>
      <xdr:col>0</xdr:col>
      <xdr:colOff>1587960</xdr:colOff>
      <xdr:row>1</xdr:row>
      <xdr:rowOff>498240</xdr:rowOff>
    </xdr:to>
    <xdr:pic>
      <xdr:nvPicPr>
        <xdr:cNvPr id="29" name="Imatge 1"/>
        <xdr:cNvPicPr/>
      </xdr:nvPicPr>
      <xdr:blipFill>
        <a:blip xmlns:r="http://schemas.openxmlformats.org/officeDocument/2006/relationships" r:embed="rId4"/>
        <a:stretch/>
      </xdr:blipFill>
      <xdr:spPr>
        <a:xfrm>
          <a:off x="360" y="11160"/>
          <a:ext cx="1587600" cy="1003680"/>
        </a:xfrm>
        <a:prstGeom prst="rect">
          <a:avLst/>
        </a:prstGeom>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49</xdr:row>
      <xdr:rowOff>142875</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360</xdr:colOff>
      <xdr:row>0</xdr:row>
      <xdr:rowOff>7920</xdr:rowOff>
    </xdr:from>
    <xdr:to>
      <xdr:col>0</xdr:col>
      <xdr:colOff>1587960</xdr:colOff>
      <xdr:row>1</xdr:row>
      <xdr:rowOff>495000</xdr:rowOff>
    </xdr:to>
    <xdr:pic>
      <xdr:nvPicPr>
        <xdr:cNvPr id="2" name="Imatge 1"/>
        <xdr:cNvPicPr/>
      </xdr:nvPicPr>
      <xdr:blipFill>
        <a:blip xmlns:r="http://schemas.openxmlformats.org/officeDocument/2006/relationships" r:embed="rId1"/>
        <a:stretch/>
      </xdr:blipFill>
      <xdr:spPr>
        <a:xfrm>
          <a:off x="360" y="7920"/>
          <a:ext cx="1587600" cy="10036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360</xdr:colOff>
      <xdr:row>0</xdr:row>
      <xdr:rowOff>3960</xdr:rowOff>
    </xdr:from>
    <xdr:to>
      <xdr:col>0</xdr:col>
      <xdr:colOff>1587960</xdr:colOff>
      <xdr:row>1</xdr:row>
      <xdr:rowOff>491040</xdr:rowOff>
    </xdr:to>
    <xdr:pic>
      <xdr:nvPicPr>
        <xdr:cNvPr id="2" name="Imatge 1"/>
        <xdr:cNvPicPr/>
      </xdr:nvPicPr>
      <xdr:blipFill>
        <a:blip xmlns:r="http://schemas.openxmlformats.org/officeDocument/2006/relationships" r:embed="rId1"/>
        <a:stretch/>
      </xdr:blipFill>
      <xdr:spPr>
        <a:xfrm>
          <a:off x="360" y="3960"/>
          <a:ext cx="1587600" cy="100368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360</xdr:colOff>
      <xdr:row>0</xdr:row>
      <xdr:rowOff>3240</xdr:rowOff>
    </xdr:from>
    <xdr:to>
      <xdr:col>0</xdr:col>
      <xdr:colOff>1587960</xdr:colOff>
      <xdr:row>2</xdr:row>
      <xdr:rowOff>9000</xdr:rowOff>
    </xdr:to>
    <xdr:pic>
      <xdr:nvPicPr>
        <xdr:cNvPr id="3" name="Imatge 1"/>
        <xdr:cNvPicPr/>
      </xdr:nvPicPr>
      <xdr:blipFill>
        <a:blip xmlns:r="http://schemas.openxmlformats.org/officeDocument/2006/relationships" r:embed="rId1"/>
        <a:stretch/>
      </xdr:blipFill>
      <xdr:spPr>
        <a:xfrm>
          <a:off x="360" y="3240"/>
          <a:ext cx="1587600" cy="100620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360</xdr:colOff>
      <xdr:row>0</xdr:row>
      <xdr:rowOff>5400</xdr:rowOff>
    </xdr:from>
    <xdr:to>
      <xdr:col>0</xdr:col>
      <xdr:colOff>1587960</xdr:colOff>
      <xdr:row>1</xdr:row>
      <xdr:rowOff>492480</xdr:rowOff>
    </xdr:to>
    <xdr:pic>
      <xdr:nvPicPr>
        <xdr:cNvPr id="4" name="Imatge 1"/>
        <xdr:cNvPicPr/>
      </xdr:nvPicPr>
      <xdr:blipFill>
        <a:blip xmlns:r="http://schemas.openxmlformats.org/officeDocument/2006/relationships" r:embed="rId1"/>
        <a:stretch/>
      </xdr:blipFill>
      <xdr:spPr>
        <a:xfrm>
          <a:off x="360" y="5400"/>
          <a:ext cx="1587600" cy="100368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360</xdr:colOff>
      <xdr:row>0</xdr:row>
      <xdr:rowOff>5400</xdr:rowOff>
    </xdr:from>
    <xdr:to>
      <xdr:col>0</xdr:col>
      <xdr:colOff>1587960</xdr:colOff>
      <xdr:row>1</xdr:row>
      <xdr:rowOff>492480</xdr:rowOff>
    </xdr:to>
    <xdr:pic>
      <xdr:nvPicPr>
        <xdr:cNvPr id="5" name="Imatge 1"/>
        <xdr:cNvPicPr/>
      </xdr:nvPicPr>
      <xdr:blipFill>
        <a:blip xmlns:r="http://schemas.openxmlformats.org/officeDocument/2006/relationships" r:embed="rId1"/>
        <a:stretch/>
      </xdr:blipFill>
      <xdr:spPr>
        <a:xfrm>
          <a:off x="360" y="5400"/>
          <a:ext cx="1587600" cy="1003680"/>
        </a:xfrm>
        <a:prstGeom prst="rect">
          <a:avLst/>
        </a:prstGeom>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360</xdr:colOff>
      <xdr:row>0</xdr:row>
      <xdr:rowOff>5040</xdr:rowOff>
    </xdr:from>
    <xdr:to>
      <xdr:col>0</xdr:col>
      <xdr:colOff>1587960</xdr:colOff>
      <xdr:row>1</xdr:row>
      <xdr:rowOff>492120</xdr:rowOff>
    </xdr:to>
    <xdr:pic>
      <xdr:nvPicPr>
        <xdr:cNvPr id="6" name="Imatge 1"/>
        <xdr:cNvPicPr/>
      </xdr:nvPicPr>
      <xdr:blipFill>
        <a:blip xmlns:r="http://schemas.openxmlformats.org/officeDocument/2006/relationships" r:embed="rId1"/>
        <a:stretch/>
      </xdr:blipFill>
      <xdr:spPr>
        <a:xfrm>
          <a:off x="360" y="5040"/>
          <a:ext cx="1587600" cy="1003680"/>
        </a:xfrm>
        <a:prstGeom prst="rect">
          <a:avLst/>
        </a:prstGeom>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1587600</xdr:colOff>
      <xdr:row>1</xdr:row>
      <xdr:rowOff>495720</xdr:rowOff>
    </xdr:to>
    <xdr:pic>
      <xdr:nvPicPr>
        <xdr:cNvPr id="7" name="Imatge 1"/>
        <xdr:cNvPicPr/>
      </xdr:nvPicPr>
      <xdr:blipFill>
        <a:blip xmlns:r="http://schemas.openxmlformats.org/officeDocument/2006/relationships" r:embed="rId1"/>
        <a:stretch/>
      </xdr:blipFill>
      <xdr:spPr>
        <a:xfrm>
          <a:off x="0" y="0"/>
          <a:ext cx="1587600" cy="1002960"/>
        </a:xfrm>
        <a:prstGeom prst="rect">
          <a:avLst/>
        </a:prstGeom>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761339</xdr:colOff>
      <xdr:row>13</xdr:row>
      <xdr:rowOff>29442</xdr:rowOff>
    </xdr:from>
    <xdr:to>
      <xdr:col>19</xdr:col>
      <xdr:colOff>137679</xdr:colOff>
      <xdr:row>23</xdr:row>
      <xdr:rowOff>133351</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36</xdr:row>
      <xdr:rowOff>1080</xdr:rowOff>
    </xdr:from>
    <xdr:to>
      <xdr:col>5</xdr:col>
      <xdr:colOff>823680</xdr:colOff>
      <xdr:row>40</xdr:row>
      <xdr:rowOff>183240</xdr:rowOff>
    </xdr:to>
    <xdr:sp macro="" textlink="">
      <xdr:nvSpPr>
        <xdr:cNvPr id="9" name="CustomShape 1"/>
        <xdr:cNvSpPr/>
      </xdr:nvSpPr>
      <xdr:spPr>
        <a:xfrm>
          <a:off x="4468530" y="6087555"/>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44</xdr:row>
      <xdr:rowOff>1080</xdr:rowOff>
    </xdr:from>
    <xdr:to>
      <xdr:col>5</xdr:col>
      <xdr:colOff>833400</xdr:colOff>
      <xdr:row>48</xdr:row>
      <xdr:rowOff>183240</xdr:rowOff>
    </xdr:to>
    <xdr:sp macro="" textlink="">
      <xdr:nvSpPr>
        <xdr:cNvPr id="10" name="CustomShape 1"/>
        <xdr:cNvSpPr/>
      </xdr:nvSpPr>
      <xdr:spPr>
        <a:xfrm>
          <a:off x="4585320" y="717120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52</xdr:row>
      <xdr:rowOff>720</xdr:rowOff>
    </xdr:from>
    <xdr:to>
      <xdr:col>5</xdr:col>
      <xdr:colOff>833400</xdr:colOff>
      <xdr:row>56</xdr:row>
      <xdr:rowOff>183600</xdr:rowOff>
    </xdr:to>
    <xdr:sp macro="" textlink="">
      <xdr:nvSpPr>
        <xdr:cNvPr id="11"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11</xdr:col>
      <xdr:colOff>102317</xdr:colOff>
      <xdr:row>41</xdr:row>
      <xdr:rowOff>17318</xdr:rowOff>
    </xdr:from>
    <xdr:to>
      <xdr:col>20</xdr:col>
      <xdr:colOff>130108</xdr:colOff>
      <xdr:row>59</xdr:row>
      <xdr:rowOff>51954</xdr:rowOff>
    </xdr:to>
    <xdr:graphicFrame macro="">
      <xdr:nvGraphicFramePr>
        <xdr:cNvPr id="12"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725400</xdr:colOff>
      <xdr:row>52</xdr:row>
      <xdr:rowOff>720</xdr:rowOff>
    </xdr:from>
    <xdr:to>
      <xdr:col>5</xdr:col>
      <xdr:colOff>833400</xdr:colOff>
      <xdr:row>56</xdr:row>
      <xdr:rowOff>183600</xdr:rowOff>
    </xdr:to>
    <xdr:sp macro="" textlink="">
      <xdr:nvSpPr>
        <xdr:cNvPr id="13"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60</xdr:row>
      <xdr:rowOff>1080</xdr:rowOff>
    </xdr:from>
    <xdr:to>
      <xdr:col>5</xdr:col>
      <xdr:colOff>833400</xdr:colOff>
      <xdr:row>64</xdr:row>
      <xdr:rowOff>183240</xdr:rowOff>
    </xdr:to>
    <xdr:sp macro="" textlink="">
      <xdr:nvSpPr>
        <xdr:cNvPr id="14"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60</xdr:row>
      <xdr:rowOff>1080</xdr:rowOff>
    </xdr:from>
    <xdr:to>
      <xdr:col>5</xdr:col>
      <xdr:colOff>833400</xdr:colOff>
      <xdr:row>64</xdr:row>
      <xdr:rowOff>183240</xdr:rowOff>
    </xdr:to>
    <xdr:sp macro="" textlink="">
      <xdr:nvSpPr>
        <xdr:cNvPr id="15"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12</xdr:col>
      <xdr:colOff>307552</xdr:colOff>
      <xdr:row>23</xdr:row>
      <xdr:rowOff>45894</xdr:rowOff>
    </xdr:from>
    <xdr:to>
      <xdr:col>20</xdr:col>
      <xdr:colOff>153205</xdr:colOff>
      <xdr:row>31</xdr:row>
      <xdr:rowOff>194059</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360</xdr:colOff>
      <xdr:row>0</xdr:row>
      <xdr:rowOff>11160</xdr:rowOff>
    </xdr:from>
    <xdr:to>
      <xdr:col>0</xdr:col>
      <xdr:colOff>1587960</xdr:colOff>
      <xdr:row>1</xdr:row>
      <xdr:rowOff>498240</xdr:rowOff>
    </xdr:to>
    <xdr:pic>
      <xdr:nvPicPr>
        <xdr:cNvPr id="18" name="Imatge 1"/>
        <xdr:cNvPicPr/>
      </xdr:nvPicPr>
      <xdr:blipFill>
        <a:blip xmlns:r="http://schemas.openxmlformats.org/officeDocument/2006/relationships" r:embed="rId4"/>
        <a:stretch/>
      </xdr:blipFill>
      <xdr:spPr>
        <a:xfrm>
          <a:off x="360" y="11160"/>
          <a:ext cx="1587600" cy="1001430"/>
        </a:xfrm>
        <a:prstGeom prst="rect">
          <a:avLst/>
        </a:prstGeom>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6"/>
  <sheetViews>
    <sheetView showRowColHeaders="0" tabSelected="1" zoomScale="110" zoomScaleNormal="110" workbookViewId="0">
      <selection activeCell="E1" sqref="E1:L4"/>
    </sheetView>
  </sheetViews>
  <sheetFormatPr baseColWidth="10" defaultColWidth="9.140625" defaultRowHeight="16.5" x14ac:dyDescent="0.3"/>
  <cols>
    <col min="1" max="1" width="13.5703125" style="2" customWidth="1"/>
    <col min="2" max="3" width="3.42578125" style="2" customWidth="1"/>
    <col min="4" max="4" width="3.7109375" style="2" customWidth="1"/>
    <col min="5" max="5" width="11.42578125" style="2"/>
    <col min="6" max="6" width="32.85546875" style="2" customWidth="1"/>
    <col min="7" max="7" width="36" style="2" customWidth="1"/>
    <col min="8" max="8" width="3.7109375" style="2" customWidth="1"/>
    <col min="9" max="9" width="11.42578125" style="2"/>
    <col min="10" max="11" width="13.140625" style="2" customWidth="1"/>
    <col min="12" max="12" width="6.140625" style="2" customWidth="1"/>
    <col min="13" max="13" width="19" style="2" customWidth="1"/>
    <col min="14" max="14" width="3.7109375" style="2" customWidth="1"/>
    <col min="15" max="1025" width="11.42578125" style="2"/>
  </cols>
  <sheetData>
    <row r="1" spans="1:13" ht="22.5" customHeight="1" x14ac:dyDescent="0.3">
      <c r="E1" s="434" t="s">
        <v>766</v>
      </c>
      <c r="F1" s="434"/>
      <c r="G1" s="434"/>
      <c r="H1" s="434"/>
      <c r="I1" s="434"/>
      <c r="J1" s="434"/>
      <c r="K1" s="434"/>
      <c r="L1" s="434"/>
    </row>
    <row r="2" spans="1:13" ht="16.5" customHeight="1" x14ac:dyDescent="0.3">
      <c r="E2" s="434"/>
      <c r="F2" s="434"/>
      <c r="G2" s="434"/>
      <c r="H2" s="434"/>
      <c r="I2" s="434"/>
      <c r="J2" s="434"/>
      <c r="K2" s="434"/>
      <c r="L2" s="434"/>
      <c r="M2" s="435"/>
    </row>
    <row r="3" spans="1:13" ht="16.5" customHeight="1" x14ac:dyDescent="0.3">
      <c r="E3" s="434"/>
      <c r="F3" s="434"/>
      <c r="G3" s="434"/>
      <c r="H3" s="434"/>
      <c r="I3" s="434"/>
      <c r="J3" s="434"/>
      <c r="K3" s="434"/>
      <c r="L3" s="434"/>
      <c r="M3" s="435"/>
    </row>
    <row r="4" spans="1:13" s="4" customFormat="1" ht="20.25" customHeight="1" x14ac:dyDescent="0.25">
      <c r="A4" s="3"/>
      <c r="B4" s="3"/>
      <c r="C4" s="3"/>
      <c r="D4" s="3"/>
      <c r="E4" s="434"/>
      <c r="F4" s="434"/>
      <c r="G4" s="434"/>
      <c r="H4" s="434"/>
      <c r="I4" s="434"/>
      <c r="J4" s="434"/>
      <c r="K4" s="434"/>
      <c r="L4" s="434"/>
      <c r="M4" s="3"/>
    </row>
    <row r="5" spans="1:13" s="4" customFormat="1" ht="17.25" customHeight="1" x14ac:dyDescent="0.25">
      <c r="A5" s="3"/>
      <c r="B5" s="3"/>
      <c r="C5" s="3"/>
      <c r="D5" s="3"/>
      <c r="E5" s="3"/>
      <c r="F5" s="3"/>
      <c r="G5" s="3"/>
      <c r="H5" s="3"/>
      <c r="I5" s="3"/>
      <c r="J5" s="3"/>
      <c r="K5" s="3"/>
      <c r="L5" s="3"/>
      <c r="M5" s="3"/>
    </row>
    <row r="6" spans="1:13" ht="20.100000000000001" customHeight="1" x14ac:dyDescent="0.3">
      <c r="B6" s="5"/>
      <c r="C6" s="5"/>
      <c r="D6" s="5"/>
      <c r="E6" s="436" t="s">
        <v>767</v>
      </c>
      <c r="F6" s="436"/>
      <c r="G6" s="436"/>
      <c r="H6" s="436"/>
      <c r="I6" s="436"/>
      <c r="J6" s="436"/>
      <c r="K6" s="436"/>
      <c r="L6" s="436"/>
      <c r="M6" s="6"/>
    </row>
    <row r="7" spans="1:13" s="4" customFormat="1" ht="14.25" customHeight="1" x14ac:dyDescent="0.25">
      <c r="A7" s="3"/>
      <c r="B7" s="437"/>
      <c r="C7" s="437"/>
      <c r="D7" s="437"/>
      <c r="E7" s="437"/>
      <c r="F7" s="437"/>
      <c r="G7" s="437"/>
      <c r="H7" s="437"/>
      <c r="I7" s="437"/>
      <c r="J7" s="437"/>
      <c r="K7" s="437"/>
      <c r="L7" s="437"/>
      <c r="M7" s="437"/>
    </row>
    <row r="8" spans="1:13" ht="8.25" customHeight="1" x14ac:dyDescent="0.3">
      <c r="B8" s="437"/>
      <c r="C8" s="437"/>
      <c r="D8" s="437"/>
      <c r="E8" s="437"/>
      <c r="F8" s="437"/>
      <c r="G8" s="437"/>
      <c r="H8" s="437"/>
      <c r="I8" s="437"/>
      <c r="J8" s="437"/>
      <c r="K8" s="437"/>
      <c r="L8" s="437"/>
      <c r="M8" s="437"/>
    </row>
    <row r="9" spans="1:13" ht="8.25" customHeight="1" x14ac:dyDescent="0.3"/>
    <row r="10" spans="1:13" s="7" customFormat="1" ht="18" x14ac:dyDescent="0.25">
      <c r="C10" s="438" t="s">
        <v>0</v>
      </c>
      <c r="D10" s="438"/>
      <c r="E10" s="439" t="s">
        <v>837</v>
      </c>
      <c r="F10" s="439"/>
      <c r="G10" s="439"/>
      <c r="H10" s="439"/>
      <c r="I10" s="439"/>
      <c r="J10" s="439"/>
      <c r="K10" s="439"/>
      <c r="L10" s="439"/>
    </row>
    <row r="11" spans="1:13" s="7" customFormat="1" ht="7.5" customHeight="1" x14ac:dyDescent="0.25">
      <c r="B11" s="8"/>
      <c r="C11" s="8"/>
      <c r="D11" s="8"/>
      <c r="E11" s="9"/>
      <c r="F11" s="8"/>
    </row>
    <row r="12" spans="1:13" s="7" customFormat="1" ht="18" x14ac:dyDescent="0.25">
      <c r="B12" s="10"/>
      <c r="C12" s="438" t="s">
        <v>1</v>
      </c>
      <c r="D12" s="438"/>
      <c r="E12" s="439" t="s">
        <v>768</v>
      </c>
      <c r="F12" s="439"/>
      <c r="G12" s="439"/>
      <c r="H12" s="439"/>
      <c r="I12" s="439"/>
      <c r="J12" s="439"/>
      <c r="K12" s="439"/>
      <c r="L12" s="439"/>
    </row>
    <row r="13" spans="1:13" s="7" customFormat="1" ht="7.5" customHeight="1" x14ac:dyDescent="0.25">
      <c r="B13" s="10"/>
      <c r="C13" s="10"/>
      <c r="D13" s="8"/>
      <c r="E13" s="9"/>
      <c r="F13" s="8"/>
    </row>
    <row r="14" spans="1:13" s="7" customFormat="1" ht="18" x14ac:dyDescent="0.25">
      <c r="B14" s="10"/>
      <c r="C14" s="438" t="s">
        <v>2</v>
      </c>
      <c r="D14" s="438"/>
      <c r="E14" s="439" t="s">
        <v>769</v>
      </c>
      <c r="F14" s="439"/>
      <c r="G14" s="439"/>
      <c r="H14" s="439"/>
      <c r="I14" s="439"/>
      <c r="J14" s="439"/>
      <c r="K14" s="439"/>
      <c r="L14" s="439"/>
    </row>
    <row r="15" spans="1:13" s="7" customFormat="1" ht="7.5" customHeight="1" x14ac:dyDescent="0.25">
      <c r="B15" s="10"/>
      <c r="C15" s="10"/>
      <c r="D15" s="8"/>
      <c r="E15" s="9"/>
      <c r="F15" s="8"/>
    </row>
    <row r="16" spans="1:13" s="7" customFormat="1" ht="18" x14ac:dyDescent="0.25">
      <c r="B16" s="10"/>
      <c r="C16" s="438" t="s">
        <v>3</v>
      </c>
      <c r="D16" s="438"/>
      <c r="E16" s="439" t="s">
        <v>770</v>
      </c>
      <c r="F16" s="439"/>
      <c r="G16" s="439"/>
      <c r="H16" s="439"/>
      <c r="I16" s="439"/>
      <c r="J16" s="439"/>
      <c r="K16" s="439"/>
      <c r="L16" s="439"/>
    </row>
    <row r="17" spans="2:13" s="7" customFormat="1" ht="7.5" customHeight="1" x14ac:dyDescent="0.25">
      <c r="B17" s="10"/>
      <c r="C17" s="10"/>
      <c r="D17" s="8"/>
      <c r="E17" s="9"/>
      <c r="F17" s="8"/>
    </row>
    <row r="18" spans="2:13" s="7" customFormat="1" ht="17.850000000000001" customHeight="1" x14ac:dyDescent="0.25">
      <c r="B18" s="10"/>
      <c r="C18" s="438" t="s">
        <v>4</v>
      </c>
      <c r="D18" s="438"/>
      <c r="E18" s="439" t="s">
        <v>771</v>
      </c>
      <c r="F18" s="439"/>
      <c r="G18" s="439"/>
      <c r="H18" s="439"/>
      <c r="I18" s="439"/>
      <c r="J18" s="439"/>
      <c r="K18" s="439"/>
      <c r="L18" s="439"/>
    </row>
    <row r="19" spans="2:13" s="7" customFormat="1" ht="7.5" customHeight="1" x14ac:dyDescent="0.25">
      <c r="B19" s="10"/>
      <c r="C19" s="10"/>
      <c r="D19" s="8"/>
      <c r="E19" s="9"/>
      <c r="F19" s="8"/>
    </row>
    <row r="20" spans="2:13" s="7" customFormat="1" ht="18" x14ac:dyDescent="0.25">
      <c r="B20" s="10"/>
      <c r="C20" s="438" t="s">
        <v>5</v>
      </c>
      <c r="D20" s="438"/>
      <c r="E20" s="439" t="s">
        <v>772</v>
      </c>
      <c r="F20" s="439"/>
      <c r="G20" s="439"/>
      <c r="H20" s="439"/>
      <c r="I20" s="439"/>
      <c r="J20" s="439"/>
      <c r="K20" s="439"/>
      <c r="L20" s="439"/>
    </row>
    <row r="21" spans="2:13" s="7" customFormat="1" ht="7.5" customHeight="1" x14ac:dyDescent="0.25">
      <c r="B21" s="10"/>
      <c r="C21" s="10"/>
      <c r="D21" s="8"/>
      <c r="E21" s="9"/>
      <c r="F21" s="8"/>
    </row>
    <row r="22" spans="2:13" s="7" customFormat="1" ht="18" x14ac:dyDescent="0.25">
      <c r="B22" s="10"/>
      <c r="C22" s="438" t="s">
        <v>6</v>
      </c>
      <c r="D22" s="438"/>
      <c r="E22" s="439" t="s">
        <v>773</v>
      </c>
      <c r="F22" s="439"/>
      <c r="G22" s="439"/>
      <c r="H22" s="439"/>
      <c r="I22" s="439"/>
      <c r="J22" s="439"/>
      <c r="K22" s="439"/>
      <c r="L22" s="439"/>
    </row>
    <row r="23" spans="2:13" s="7" customFormat="1" ht="7.5" customHeight="1" x14ac:dyDescent="0.25">
      <c r="B23" s="10"/>
      <c r="C23" s="10"/>
      <c r="D23" s="8"/>
      <c r="E23" s="9"/>
      <c r="F23" s="8"/>
    </row>
    <row r="24" spans="2:13" s="7" customFormat="1" ht="18" x14ac:dyDescent="0.25">
      <c r="B24" s="10"/>
      <c r="C24" s="438" t="s">
        <v>7</v>
      </c>
      <c r="D24" s="438"/>
      <c r="E24" s="439" t="s">
        <v>774</v>
      </c>
      <c r="F24" s="439"/>
      <c r="G24" s="439"/>
      <c r="H24" s="439"/>
      <c r="I24" s="439"/>
      <c r="J24" s="439"/>
      <c r="K24" s="439"/>
      <c r="L24" s="439"/>
    </row>
    <row r="25" spans="2:13" ht="9" customHeight="1" x14ac:dyDescent="0.3">
      <c r="D25" s="11"/>
    </row>
    <row r="26" spans="2:13" s="7" customFormat="1" ht="18" x14ac:dyDescent="0.25">
      <c r="B26" s="10"/>
      <c r="C26" s="438" t="s">
        <v>8</v>
      </c>
      <c r="D26" s="438"/>
      <c r="E26" s="439" t="s">
        <v>775</v>
      </c>
      <c r="F26" s="439"/>
      <c r="G26" s="439"/>
      <c r="H26" s="439"/>
      <c r="I26" s="439"/>
      <c r="J26" s="439"/>
      <c r="K26" s="439"/>
      <c r="L26" s="439"/>
    </row>
    <row r="27" spans="2:13" ht="9" customHeight="1" x14ac:dyDescent="0.3">
      <c r="D27" s="11"/>
    </row>
    <row r="28" spans="2:13" x14ac:dyDescent="0.3">
      <c r="B28" s="5"/>
      <c r="C28" s="5"/>
      <c r="D28" s="5"/>
      <c r="E28" s="12"/>
      <c r="F28" s="5"/>
      <c r="G28" s="5"/>
      <c r="H28" s="5"/>
      <c r="I28" s="5"/>
      <c r="J28" s="5"/>
      <c r="K28" s="5"/>
      <c r="L28" s="5"/>
      <c r="M28" s="5"/>
    </row>
    <row r="29" spans="2:13" ht="16.5" customHeight="1" x14ac:dyDescent="0.3">
      <c r="E29" s="433" t="s">
        <v>1004</v>
      </c>
      <c r="F29" s="433"/>
      <c r="G29" s="433"/>
      <c r="H29" s="433"/>
      <c r="I29" s="433"/>
      <c r="J29" s="433"/>
      <c r="K29" s="433"/>
      <c r="L29" s="433"/>
    </row>
    <row r="30" spans="2:13" x14ac:dyDescent="0.3">
      <c r="E30" s="433"/>
      <c r="F30" s="433"/>
      <c r="G30" s="433"/>
      <c r="H30" s="433"/>
      <c r="I30" s="433"/>
      <c r="J30" s="433"/>
      <c r="K30" s="433"/>
      <c r="L30" s="433"/>
    </row>
    <row r="31" spans="2:13" x14ac:dyDescent="0.3">
      <c r="E31" s="433"/>
      <c r="F31" s="433"/>
      <c r="G31" s="433"/>
      <c r="H31" s="433"/>
      <c r="I31" s="433"/>
      <c r="J31" s="433"/>
      <c r="K31" s="433"/>
      <c r="L31" s="433"/>
    </row>
    <row r="32" spans="2:13" x14ac:dyDescent="0.3">
      <c r="E32" s="433"/>
      <c r="F32" s="433"/>
      <c r="G32" s="433"/>
      <c r="H32" s="433"/>
      <c r="I32" s="433"/>
      <c r="J32" s="433"/>
      <c r="K32" s="433"/>
      <c r="L32" s="433"/>
    </row>
    <row r="33" spans="5:12" x14ac:dyDescent="0.3">
      <c r="E33" s="433"/>
      <c r="F33" s="433"/>
      <c r="G33" s="433"/>
      <c r="H33" s="433"/>
      <c r="I33" s="433"/>
      <c r="J33" s="433"/>
      <c r="K33" s="433"/>
      <c r="L33" s="433"/>
    </row>
    <row r="34" spans="5:12" x14ac:dyDescent="0.3">
      <c r="E34" s="433"/>
      <c r="F34" s="433"/>
      <c r="G34" s="433"/>
      <c r="H34" s="433"/>
      <c r="I34" s="433"/>
      <c r="J34" s="433"/>
      <c r="K34" s="433"/>
      <c r="L34" s="433"/>
    </row>
    <row r="35" spans="5:12" x14ac:dyDescent="0.3">
      <c r="E35" s="433"/>
      <c r="F35" s="433"/>
      <c r="G35" s="433"/>
      <c r="H35" s="433"/>
      <c r="I35" s="433"/>
      <c r="J35" s="433"/>
      <c r="K35" s="433"/>
      <c r="L35" s="433"/>
    </row>
    <row r="36" spans="5:12" x14ac:dyDescent="0.3">
      <c r="E36" s="433"/>
      <c r="F36" s="433"/>
      <c r="G36" s="433"/>
      <c r="H36" s="433"/>
      <c r="I36" s="433"/>
      <c r="J36" s="433"/>
      <c r="K36" s="433"/>
      <c r="L36" s="433"/>
    </row>
    <row r="37" spans="5:12" x14ac:dyDescent="0.3">
      <c r="E37" s="433"/>
      <c r="F37" s="433"/>
      <c r="G37" s="433"/>
      <c r="H37" s="433"/>
      <c r="I37" s="433"/>
      <c r="J37" s="433"/>
      <c r="K37" s="433"/>
      <c r="L37" s="433"/>
    </row>
    <row r="38" spans="5:12" x14ac:dyDescent="0.3">
      <c r="E38" s="433"/>
      <c r="F38" s="433"/>
      <c r="G38" s="433"/>
      <c r="H38" s="433"/>
      <c r="I38" s="433"/>
      <c r="J38" s="433"/>
      <c r="K38" s="433"/>
      <c r="L38" s="433"/>
    </row>
    <row r="39" spans="5:12" x14ac:dyDescent="0.3">
      <c r="E39" s="388"/>
      <c r="F39" s="388"/>
      <c r="G39" s="388"/>
      <c r="H39" s="388"/>
      <c r="I39" s="388"/>
      <c r="J39" s="388"/>
      <c r="K39" s="388"/>
      <c r="L39" s="388"/>
    </row>
    <row r="40" spans="5:12" x14ac:dyDescent="0.3">
      <c r="E40" s="388"/>
      <c r="F40" s="388"/>
      <c r="G40" s="388"/>
      <c r="H40" s="388"/>
      <c r="I40" s="388"/>
      <c r="J40" s="388"/>
      <c r="K40" s="388"/>
      <c r="L40" s="388"/>
    </row>
    <row r="41" spans="5:12" x14ac:dyDescent="0.3">
      <c r="E41" s="388"/>
      <c r="F41" s="388"/>
      <c r="G41" s="388"/>
      <c r="H41" s="388"/>
      <c r="I41" s="388"/>
      <c r="J41" s="388"/>
      <c r="K41" s="388"/>
      <c r="L41" s="388"/>
    </row>
    <row r="42" spans="5:12" x14ac:dyDescent="0.3">
      <c r="E42" s="388"/>
      <c r="F42" s="388"/>
      <c r="G42" s="388"/>
      <c r="H42" s="388"/>
      <c r="I42" s="388"/>
      <c r="J42" s="388"/>
      <c r="K42" s="388"/>
      <c r="L42" s="388"/>
    </row>
    <row r="43" spans="5:12" x14ac:dyDescent="0.3">
      <c r="E43" s="388"/>
      <c r="F43" s="388"/>
      <c r="G43" s="388"/>
      <c r="H43" s="388"/>
      <c r="I43" s="388"/>
      <c r="J43" s="388"/>
      <c r="K43" s="388"/>
      <c r="L43" s="388"/>
    </row>
    <row r="44" spans="5:12" x14ac:dyDescent="0.3">
      <c r="E44" s="388"/>
      <c r="F44" s="388"/>
      <c r="G44" s="388"/>
      <c r="H44" s="388"/>
      <c r="I44" s="388"/>
      <c r="J44" s="388"/>
      <c r="K44" s="388"/>
      <c r="L44" s="388"/>
    </row>
    <row r="45" spans="5:12" x14ac:dyDescent="0.3">
      <c r="E45" s="388"/>
      <c r="F45" s="388"/>
      <c r="G45" s="388"/>
      <c r="H45" s="388"/>
      <c r="I45" s="388"/>
      <c r="J45" s="388"/>
      <c r="K45" s="388"/>
      <c r="L45" s="388"/>
    </row>
    <row r="46" spans="5:12" x14ac:dyDescent="0.3">
      <c r="E46" s="388"/>
      <c r="F46" s="388"/>
      <c r="G46" s="388"/>
      <c r="H46" s="388"/>
      <c r="I46" s="388"/>
      <c r="J46" s="388"/>
      <c r="K46" s="388"/>
      <c r="L46" s="388"/>
    </row>
  </sheetData>
  <mergeCells count="23">
    <mergeCell ref="E26:L26"/>
    <mergeCell ref="C18:D18"/>
    <mergeCell ref="E18:L18"/>
    <mergeCell ref="C20:D20"/>
    <mergeCell ref="E20:L20"/>
    <mergeCell ref="C22:D22"/>
    <mergeCell ref="E22:L22"/>
    <mergeCell ref="E29:L38"/>
    <mergeCell ref="E1:L4"/>
    <mergeCell ref="M2:M3"/>
    <mergeCell ref="E6:L6"/>
    <mergeCell ref="B7:M8"/>
    <mergeCell ref="C10:D10"/>
    <mergeCell ref="E10:L10"/>
    <mergeCell ref="C12:D12"/>
    <mergeCell ref="E12:L12"/>
    <mergeCell ref="C14:D14"/>
    <mergeCell ref="E14:L14"/>
    <mergeCell ref="C16:D16"/>
    <mergeCell ref="E16:L16"/>
    <mergeCell ref="C24:D24"/>
    <mergeCell ref="E24:L24"/>
    <mergeCell ref="C26:D26"/>
  </mergeCells>
  <hyperlinks>
    <hyperlink ref="E10" location="'0_Datos generales organización'!A1" display="Datos generales de la organización"/>
    <hyperlink ref="E12" location="'1_Combustibles fósiles'!A1" display="Huella de carbono Alcance 1: Combustibles fósiles"/>
    <hyperlink ref="E14" location="'2_Fluorados'!A1" display="Huella de carbono Alcance 1: Fugas de gases fluorados (equipos de climatización y refrigeración)"/>
    <hyperlink ref="E16" location="'3_Emisiones proceso'!A1" display="Huella de carbono Alcance 1: Emisiones de proceso"/>
    <hyperlink ref="E18" location="'4.1_Electricidad Illes Balears'!A1" display="Huella de carbono Alcance 2: Electricidad registro balear"/>
    <hyperlink ref="E20" location="'4.2_Electricidad España'!A1" display="Huella de carbono Alcance 2: Electricidad resgistro español"/>
    <hyperlink ref="E22" location="'5_Información adicional'!A1" display="Información adicional: Renovables"/>
    <hyperlink ref="E24" location="'6.1_Resultados Illes Balears'!A1" display="Informe final: Resultados resgistro balear"/>
    <hyperlink ref="E26" location="'6.2_Resultados España'!A1" display="Informe final: Resultados resgistro español"/>
    <hyperlink ref="E20:L20" location="'4.2_Electricitat Espanya'!A1" display="Petjada de carboni Abast 2: Electricitat registre espanyol"/>
    <hyperlink ref="E24:L24" location="'6.1_Resultats Illes Balears'!A1" display="Informe final: Resultats registre balear"/>
    <hyperlink ref="E26:L26" location="'6.2_Resultats Espanya'!A1" display="Informe final: Resultats registre espanyol"/>
    <hyperlink ref="E14:L14" location="'2_Fluorats'!A1" display="Petjada de carboni Abast 1: Fugues de gasos fluorats"/>
    <hyperlink ref="E10:L10" location="'0_Dades generals organització'!A1" display="Dades generals de l'organització"/>
    <hyperlink ref="E12:L12" location="'1_Combustibles fòssils'!A1" display="Petjada de carboni Abast 1: Combustibles fòssils"/>
    <hyperlink ref="E16:L16" location="'3_Emissions processos'!A1" display="Petjada de carboni Abast 1: Emissions de procés"/>
    <hyperlink ref="E18:L18" location="'4.1_Electricitat Illes Balears'!A1" display="Petjada de carboni Abast 2: Electricitat registre balear"/>
    <hyperlink ref="E22:L22" location="'5_Informació addicional'!A1" display="Informació addicional: Renovables"/>
  </hyperlinks>
  <pageMargins left="0.75" right="0.75" top="1" bottom="1" header="0.51180555555555496" footer="0.51180555555555496"/>
  <pageSetup paperSize="9" scale="45" firstPageNumber="0"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21"/>
  <sheetViews>
    <sheetView showRowColHeaders="0" zoomScaleNormal="100" workbookViewId="0">
      <pane xSplit="1" topLeftCell="B1" activePane="topRight" state="frozen"/>
      <selection pane="topRight" activeCell="C1" sqref="C1:U1"/>
    </sheetView>
  </sheetViews>
  <sheetFormatPr baseColWidth="10" defaultColWidth="9.140625" defaultRowHeight="16.5" x14ac:dyDescent="0.3"/>
  <cols>
    <col min="1" max="1" width="32.28515625" style="13" customWidth="1"/>
    <col min="2" max="2" width="1.7109375" style="13" customWidth="1"/>
    <col min="3" max="3" width="3.42578125" style="2" customWidth="1"/>
    <col min="4" max="4" width="1.28515625" style="2" customWidth="1"/>
    <col min="5" max="5" width="17.85546875" style="2" customWidth="1"/>
    <col min="6" max="6" width="14.140625" style="2" customWidth="1"/>
    <col min="7" max="7" width="15.140625" style="105" customWidth="1"/>
    <col min="8" max="8" width="9.42578125" style="105" customWidth="1"/>
    <col min="9" max="9" width="8.7109375" style="105" customWidth="1"/>
    <col min="10" max="10" width="4" style="105" customWidth="1"/>
    <col min="11" max="11" width="5.140625" style="105" customWidth="1"/>
    <col min="12" max="12" width="2.5703125" style="105" customWidth="1"/>
    <col min="13" max="13" width="17.28515625" style="105" customWidth="1"/>
    <col min="14" max="14" width="7.140625" style="2" customWidth="1"/>
    <col min="15" max="15" width="19.5703125" style="2" customWidth="1"/>
    <col min="16" max="16" width="8.85546875" style="2" customWidth="1"/>
    <col min="17" max="17" width="8.28515625" style="2" customWidth="1"/>
    <col min="18" max="18" width="6.7109375" style="2" customWidth="1"/>
    <col min="19" max="20" width="4" style="2" customWidth="1"/>
    <col min="21" max="21" width="6.140625" style="2" customWidth="1"/>
    <col min="22" max="32" width="11.42578125" style="73"/>
    <col min="33" max="1025" width="11.42578125" style="2"/>
  </cols>
  <sheetData>
    <row r="1" spans="1:22" s="26" customFormat="1" ht="40.700000000000003" customHeight="1" x14ac:dyDescent="0.25">
      <c r="A1" s="13"/>
      <c r="B1" s="14"/>
      <c r="C1" s="444" t="s">
        <v>994</v>
      </c>
      <c r="D1" s="444"/>
      <c r="E1" s="444"/>
      <c r="F1" s="444"/>
      <c r="G1" s="444"/>
      <c r="H1" s="444"/>
      <c r="I1" s="444"/>
      <c r="J1" s="444"/>
      <c r="K1" s="444"/>
      <c r="L1" s="444"/>
      <c r="M1" s="444"/>
      <c r="N1" s="444"/>
      <c r="O1" s="444"/>
      <c r="P1" s="444"/>
      <c r="Q1" s="444"/>
      <c r="R1" s="444"/>
      <c r="S1" s="444"/>
      <c r="T1" s="444"/>
      <c r="U1" s="444"/>
    </row>
    <row r="2" spans="1:22" s="26" customFormat="1" ht="40.700000000000003" customHeight="1" x14ac:dyDescent="0.25">
      <c r="A2" s="13"/>
      <c r="B2" s="14"/>
      <c r="N2" s="27"/>
      <c r="O2" s="27"/>
      <c r="P2" s="27"/>
      <c r="Q2" s="27"/>
      <c r="R2" s="27"/>
      <c r="S2" s="27"/>
      <c r="T2" s="27"/>
    </row>
    <row r="3" spans="1:22" s="26" customFormat="1" ht="18" customHeight="1" x14ac:dyDescent="0.2">
      <c r="A3" s="17" t="s">
        <v>827</v>
      </c>
      <c r="B3" s="16"/>
      <c r="E3" s="521" t="s">
        <v>966</v>
      </c>
      <c r="F3" s="521"/>
      <c r="G3" s="522" t="str">
        <f>IF(ISTEXT(Dades!$E$519),Dades!$E$519,"")</f>
        <v/>
      </c>
      <c r="H3" s="522"/>
      <c r="I3" s="522"/>
      <c r="J3" s="522"/>
      <c r="K3" s="522"/>
      <c r="L3" s="522"/>
      <c r="M3" s="522"/>
      <c r="N3" s="522"/>
      <c r="O3" s="522"/>
      <c r="P3" s="522"/>
      <c r="Q3" s="522"/>
      <c r="R3" s="522"/>
      <c r="S3" s="522"/>
      <c r="T3" s="27"/>
    </row>
    <row r="4" spans="1:22" s="26" customFormat="1" ht="8.25" customHeight="1" x14ac:dyDescent="0.3">
      <c r="A4" s="523" t="s">
        <v>828</v>
      </c>
      <c r="B4" s="16"/>
      <c r="E4" s="113"/>
      <c r="F4" s="114"/>
      <c r="G4" s="46"/>
      <c r="H4" s="46"/>
      <c r="I4" s="46"/>
      <c r="J4" s="46"/>
      <c r="K4" s="46"/>
      <c r="L4" s="46"/>
      <c r="M4" s="46"/>
      <c r="N4" s="46"/>
      <c r="O4" s="46"/>
      <c r="P4" s="46"/>
      <c r="Q4" s="46"/>
      <c r="R4" s="46"/>
      <c r="S4" s="46"/>
      <c r="T4" s="27"/>
    </row>
    <row r="5" spans="1:22" s="26" customFormat="1" ht="8.25" customHeight="1" x14ac:dyDescent="0.2">
      <c r="A5" s="523"/>
      <c r="B5" s="16"/>
      <c r="E5" s="521" t="s">
        <v>967</v>
      </c>
      <c r="F5" s="521"/>
      <c r="G5" s="535" t="str">
        <f>IF(ISTEXT(Dades!$E$520),Dades!$E$520,"")</f>
        <v/>
      </c>
      <c r="H5" s="535"/>
      <c r="I5" s="535"/>
      <c r="J5" s="535"/>
      <c r="K5" s="535"/>
      <c r="L5" s="535"/>
      <c r="M5" s="535"/>
      <c r="N5" s="535"/>
      <c r="O5" s="535"/>
      <c r="P5" s="535"/>
      <c r="Q5" s="535"/>
      <c r="R5" s="535"/>
      <c r="S5" s="535"/>
      <c r="T5" s="27"/>
    </row>
    <row r="6" spans="1:22" s="26" customFormat="1" ht="8.25" customHeight="1" x14ac:dyDescent="0.2">
      <c r="A6" s="523" t="s">
        <v>829</v>
      </c>
      <c r="B6" s="16"/>
      <c r="E6" s="521"/>
      <c r="F6" s="521"/>
      <c r="G6" s="535"/>
      <c r="H6" s="535"/>
      <c r="I6" s="535"/>
      <c r="J6" s="535"/>
      <c r="K6" s="535"/>
      <c r="L6" s="535"/>
      <c r="M6" s="535"/>
      <c r="N6" s="535"/>
      <c r="O6" s="535"/>
      <c r="P6" s="535"/>
      <c r="Q6" s="535"/>
      <c r="R6" s="535"/>
      <c r="S6" s="535"/>
      <c r="T6" s="27"/>
    </row>
    <row r="7" spans="1:22" ht="8.25" customHeight="1" x14ac:dyDescent="0.3">
      <c r="A7" s="523"/>
      <c r="B7" s="16"/>
      <c r="E7" s="113"/>
      <c r="F7" s="114"/>
      <c r="G7" s="46"/>
      <c r="H7" s="46"/>
      <c r="I7" s="46"/>
      <c r="J7" s="46"/>
      <c r="K7" s="46"/>
      <c r="L7" s="46"/>
      <c r="M7" s="46"/>
      <c r="N7" s="46"/>
      <c r="O7" s="46"/>
      <c r="P7" s="46"/>
      <c r="Q7" s="46"/>
      <c r="R7" s="46"/>
      <c r="S7" s="46"/>
    </row>
    <row r="8" spans="1:22" ht="8.25" customHeight="1" x14ac:dyDescent="0.3">
      <c r="A8" s="523" t="s">
        <v>830</v>
      </c>
      <c r="D8" s="470" t="s">
        <v>968</v>
      </c>
      <c r="E8" s="470"/>
      <c r="F8" s="470"/>
      <c r="G8" s="470"/>
      <c r="H8" s="470"/>
      <c r="I8" s="470"/>
      <c r="J8" s="470"/>
      <c r="K8" s="470"/>
      <c r="L8" s="470"/>
      <c r="M8" s="470"/>
      <c r="N8" s="470"/>
      <c r="O8" s="470"/>
      <c r="P8" s="470"/>
      <c r="Q8" s="470"/>
      <c r="R8" s="470"/>
      <c r="S8" s="470"/>
      <c r="T8" s="470"/>
      <c r="U8" s="470"/>
    </row>
    <row r="9" spans="1:22" ht="8.25" customHeight="1" x14ac:dyDescent="0.3">
      <c r="A9" s="523"/>
      <c r="D9" s="470"/>
      <c r="E9" s="470"/>
      <c r="F9" s="470"/>
      <c r="G9" s="470"/>
      <c r="H9" s="470"/>
      <c r="I9" s="470"/>
      <c r="J9" s="470"/>
      <c r="K9" s="470"/>
      <c r="L9" s="470"/>
      <c r="M9" s="470"/>
      <c r="N9" s="470"/>
      <c r="O9" s="470"/>
      <c r="P9" s="470"/>
      <c r="Q9" s="470"/>
      <c r="R9" s="470"/>
      <c r="S9" s="470"/>
      <c r="T9" s="470"/>
      <c r="U9" s="470"/>
    </row>
    <row r="10" spans="1:22" ht="8.25" customHeight="1" x14ac:dyDescent="0.3">
      <c r="A10" s="523" t="s">
        <v>831</v>
      </c>
      <c r="G10" s="2"/>
      <c r="H10" s="2"/>
      <c r="I10" s="2"/>
      <c r="J10" s="2"/>
      <c r="K10" s="2"/>
      <c r="L10" s="2"/>
      <c r="M10" s="2"/>
    </row>
    <row r="11" spans="1:22" ht="8.25" customHeight="1" x14ac:dyDescent="0.3">
      <c r="A11" s="523"/>
      <c r="E11" s="524" t="s">
        <v>1019</v>
      </c>
      <c r="F11" s="524"/>
      <c r="G11" s="524"/>
      <c r="H11" s="524"/>
      <c r="I11" s="524"/>
      <c r="J11" s="524"/>
      <c r="K11" s="524"/>
      <c r="L11" s="524"/>
      <c r="M11" s="524"/>
      <c r="N11" s="115"/>
      <c r="O11" s="115"/>
      <c r="P11" s="115"/>
      <c r="Q11" s="115"/>
      <c r="R11" s="115"/>
      <c r="S11" s="115"/>
      <c r="T11" s="115"/>
      <c r="U11" s="115"/>
      <c r="V11" s="115"/>
    </row>
    <row r="12" spans="1:22" ht="8.25" customHeight="1" x14ac:dyDescent="0.3">
      <c r="A12" s="523" t="s">
        <v>832</v>
      </c>
      <c r="E12" s="524"/>
      <c r="F12" s="524"/>
      <c r="G12" s="524"/>
      <c r="H12" s="524"/>
      <c r="I12" s="524"/>
      <c r="J12" s="524"/>
      <c r="K12" s="524"/>
      <c r="L12" s="524"/>
      <c r="M12" s="524"/>
      <c r="N12" s="115"/>
      <c r="O12" s="115"/>
      <c r="P12" s="115"/>
      <c r="Q12" s="115"/>
      <c r="R12" s="115"/>
      <c r="S12" s="115"/>
      <c r="T12" s="115"/>
      <c r="U12" s="115"/>
      <c r="V12" s="115"/>
    </row>
    <row r="13" spans="1:22" ht="7.5" customHeight="1" x14ac:dyDescent="0.3">
      <c r="A13" s="523"/>
      <c r="E13" s="46"/>
      <c r="F13" s="46"/>
      <c r="G13" s="46"/>
      <c r="H13" s="46"/>
      <c r="I13" s="46"/>
      <c r="J13" s="46"/>
      <c r="K13" s="46"/>
      <c r="L13" s="46"/>
      <c r="M13" s="46"/>
      <c r="N13" s="46"/>
      <c r="O13" s="46"/>
      <c r="P13" s="46"/>
      <c r="Q13" s="46"/>
      <c r="R13" s="46"/>
      <c r="S13" s="46"/>
    </row>
    <row r="14" spans="1:22" ht="16.5" customHeight="1" x14ac:dyDescent="0.3">
      <c r="A14" s="17" t="s">
        <v>833</v>
      </c>
      <c r="E14" s="525" t="s">
        <v>970</v>
      </c>
      <c r="F14" s="525"/>
      <c r="G14" s="199">
        <f>IF(ISNUMBER('0_Dades generals organització'!G3),'0_Dades generals organització'!G3,"")</f>
        <v>2020</v>
      </c>
      <c r="H14" s="46"/>
      <c r="I14" s="46"/>
      <c r="J14" s="46"/>
      <c r="K14" s="46"/>
      <c r="L14" s="117"/>
      <c r="M14" s="118"/>
      <c r="N14" s="46"/>
      <c r="O14" s="46"/>
      <c r="P14" s="46"/>
      <c r="Q14" s="46"/>
      <c r="R14" s="46"/>
      <c r="S14" s="46"/>
    </row>
    <row r="15" spans="1:22" ht="16.5" customHeight="1" x14ac:dyDescent="0.3">
      <c r="A15" s="17" t="s">
        <v>834</v>
      </c>
      <c r="E15" s="26"/>
      <c r="F15" s="26"/>
      <c r="G15" s="26"/>
      <c r="H15" s="26"/>
      <c r="I15" s="26"/>
      <c r="J15" s="26"/>
      <c r="K15" s="26"/>
      <c r="L15" s="117"/>
      <c r="M15" s="118"/>
      <c r="N15" s="46"/>
      <c r="O15" s="46"/>
      <c r="P15" s="46"/>
      <c r="Q15" s="46"/>
      <c r="R15" s="46"/>
      <c r="S15" s="46"/>
    </row>
    <row r="16" spans="1:22" ht="16.5" customHeight="1" x14ac:dyDescent="0.3">
      <c r="A16" s="15" t="s">
        <v>835</v>
      </c>
      <c r="E16" s="509" t="s">
        <v>971</v>
      </c>
      <c r="F16" s="509"/>
      <c r="G16" s="509"/>
      <c r="H16" s="517">
        <f>ROUND((H27/1000),2)</f>
        <v>0</v>
      </c>
      <c r="I16" s="517"/>
      <c r="J16" s="534" t="s">
        <v>43</v>
      </c>
      <c r="K16" s="534"/>
      <c r="L16" s="117"/>
      <c r="M16" s="118"/>
      <c r="N16" s="46"/>
      <c r="O16" s="46"/>
      <c r="P16" s="46"/>
      <c r="Q16" s="46"/>
      <c r="R16" s="46"/>
      <c r="S16" s="46"/>
    </row>
    <row r="17" spans="1:21" ht="16.5" customHeight="1" x14ac:dyDescent="0.3">
      <c r="A17" s="523"/>
      <c r="E17" s="509" t="s">
        <v>972</v>
      </c>
      <c r="F17" s="509"/>
      <c r="G17" s="509"/>
      <c r="H17" s="517">
        <f>ROUND((H29/1000),2)</f>
        <v>0</v>
      </c>
      <c r="I17" s="517"/>
      <c r="J17" s="534" t="s">
        <v>43</v>
      </c>
      <c r="K17" s="534"/>
      <c r="L17" s="117"/>
      <c r="M17" s="118"/>
      <c r="N17" s="46"/>
      <c r="O17" s="46"/>
      <c r="P17" s="46"/>
      <c r="Q17" s="46"/>
      <c r="R17" s="46"/>
      <c r="S17" s="46"/>
    </row>
    <row r="18" spans="1:21" ht="3" customHeight="1" x14ac:dyDescent="0.3">
      <c r="A18" s="523"/>
      <c r="E18" s="46"/>
      <c r="F18" s="46"/>
      <c r="G18" s="46"/>
      <c r="H18" s="119"/>
      <c r="I18" s="119"/>
      <c r="J18" s="46"/>
      <c r="K18" s="46"/>
      <c r="L18" s="117"/>
      <c r="M18" s="120"/>
      <c r="N18" s="46"/>
      <c r="O18" s="46"/>
      <c r="P18" s="46"/>
      <c r="Q18" s="46"/>
      <c r="R18" s="46"/>
      <c r="S18" s="46"/>
    </row>
    <row r="19" spans="1:21" ht="15.75" customHeight="1" x14ac:dyDescent="0.3">
      <c r="A19" s="17"/>
      <c r="E19" s="509" t="s">
        <v>973</v>
      </c>
      <c r="F19" s="509"/>
      <c r="G19" s="509"/>
      <c r="H19" s="510">
        <f>ROUND((H31/1000),2)</f>
        <v>0</v>
      </c>
      <c r="I19" s="510"/>
      <c r="J19" s="511" t="s">
        <v>34</v>
      </c>
      <c r="K19" s="511"/>
      <c r="L19" s="117"/>
      <c r="M19" s="118"/>
      <c r="N19" s="46"/>
      <c r="O19" s="46"/>
      <c r="P19" s="46"/>
      <c r="Q19" s="46"/>
      <c r="R19" s="46"/>
      <c r="S19" s="46"/>
    </row>
    <row r="20" spans="1:21" ht="15.75" customHeight="1" x14ac:dyDescent="0.3">
      <c r="A20" s="18"/>
      <c r="E20" s="26"/>
      <c r="F20" s="26"/>
      <c r="G20" s="26"/>
      <c r="H20" s="26"/>
      <c r="I20" s="26"/>
      <c r="J20" s="26"/>
      <c r="K20" s="26"/>
      <c r="L20" s="117"/>
      <c r="M20" s="120"/>
      <c r="N20" s="46"/>
      <c r="O20" s="46"/>
      <c r="P20" s="46"/>
      <c r="Q20" s="46"/>
      <c r="R20" s="46"/>
      <c r="S20" s="46"/>
    </row>
    <row r="21" spans="1:21" ht="15.75" customHeight="1" x14ac:dyDescent="0.3">
      <c r="A21" s="17"/>
      <c r="E21" s="539" t="s">
        <v>1018</v>
      </c>
      <c r="F21" s="539"/>
      <c r="G21" s="539"/>
      <c r="H21" s="539"/>
      <c r="I21" s="539"/>
      <c r="J21" s="539"/>
      <c r="K21" s="539"/>
      <c r="L21" s="539"/>
      <c r="M21" s="120"/>
      <c r="N21" s="46"/>
      <c r="O21" s="46"/>
      <c r="P21" s="46"/>
      <c r="Q21" s="46"/>
      <c r="R21" s="46"/>
      <c r="S21" s="46"/>
    </row>
    <row r="22" spans="1:21" s="26" customFormat="1" ht="6" customHeight="1" x14ac:dyDescent="0.25">
      <c r="A22" s="17"/>
      <c r="B22" s="13"/>
      <c r="E22" s="121"/>
      <c r="F22" s="121"/>
      <c r="G22" s="121"/>
      <c r="H22" s="121"/>
      <c r="I22" s="121"/>
      <c r="J22" s="121"/>
      <c r="K22" s="121"/>
      <c r="L22" s="121"/>
      <c r="M22" s="122"/>
      <c r="N22" s="46"/>
      <c r="O22" s="46"/>
      <c r="P22" s="46"/>
      <c r="Q22" s="46"/>
      <c r="R22" s="46"/>
      <c r="S22" s="46"/>
    </row>
    <row r="23" spans="1:21" s="26" customFormat="1" ht="15.75" customHeight="1" x14ac:dyDescent="0.25">
      <c r="A23" s="17"/>
      <c r="B23" s="13"/>
      <c r="E23" s="540" t="s">
        <v>971</v>
      </c>
      <c r="F23" s="514" t="s">
        <v>979</v>
      </c>
      <c r="G23" s="514"/>
      <c r="H23" s="515">
        <f>'1_Combustibles fòssils'!O22</f>
        <v>0</v>
      </c>
      <c r="I23" s="515"/>
      <c r="J23" s="534" t="s">
        <v>748</v>
      </c>
      <c r="K23" s="534"/>
      <c r="L23" s="46"/>
      <c r="M23" s="46"/>
      <c r="N23" s="46"/>
      <c r="O23" s="46"/>
      <c r="P23" s="46"/>
      <c r="Q23" s="46"/>
      <c r="R23" s="46"/>
      <c r="S23" s="46"/>
    </row>
    <row r="24" spans="1:21" s="26" customFormat="1" ht="15.75" customHeight="1" x14ac:dyDescent="0.25">
      <c r="A24" s="17"/>
      <c r="B24" s="13"/>
      <c r="E24" s="541"/>
      <c r="F24" s="514" t="s">
        <v>977</v>
      </c>
      <c r="G24" s="514"/>
      <c r="H24" s="515">
        <f>'1_Combustibles fòssils'!V53</f>
        <v>0</v>
      </c>
      <c r="I24" s="515"/>
      <c r="J24" s="534" t="s">
        <v>748</v>
      </c>
      <c r="K24" s="534"/>
    </row>
    <row r="25" spans="1:21" s="26" customFormat="1" ht="15.75" customHeight="1" x14ac:dyDescent="0.25">
      <c r="A25" s="17"/>
      <c r="B25" s="13"/>
      <c r="E25" s="541"/>
      <c r="F25" s="514" t="s">
        <v>990</v>
      </c>
      <c r="G25" s="514"/>
      <c r="H25" s="515">
        <f>'2_Fluorats'!Q16</f>
        <v>0</v>
      </c>
      <c r="I25" s="515"/>
      <c r="J25" s="534" t="s">
        <v>44</v>
      </c>
      <c r="K25" s="534"/>
      <c r="L25" s="123"/>
      <c r="M25" s="123"/>
      <c r="N25" s="123"/>
      <c r="O25" s="123"/>
      <c r="P25" s="123"/>
      <c r="Q25" s="123"/>
      <c r="R25" s="123"/>
      <c r="S25" s="123"/>
      <c r="T25" s="123"/>
      <c r="U25" s="123"/>
    </row>
    <row r="26" spans="1:21" s="26" customFormat="1" ht="15.75" customHeight="1" x14ac:dyDescent="0.25">
      <c r="A26" s="17"/>
      <c r="B26" s="13"/>
      <c r="E26" s="542"/>
      <c r="F26" s="514" t="s">
        <v>978</v>
      </c>
      <c r="G26" s="514"/>
      <c r="H26" s="515">
        <f>'3_Emissions processos'!M18</f>
        <v>0</v>
      </c>
      <c r="I26" s="515"/>
      <c r="J26" s="534" t="s">
        <v>44</v>
      </c>
      <c r="K26" s="534"/>
      <c r="L26" s="123"/>
      <c r="M26" s="123"/>
      <c r="N26" s="123"/>
      <c r="O26" s="123"/>
      <c r="P26" s="123"/>
      <c r="Q26" s="123"/>
      <c r="R26" s="123"/>
      <c r="S26" s="123"/>
      <c r="T26" s="123"/>
      <c r="U26" s="123"/>
    </row>
    <row r="27" spans="1:21" s="26" customFormat="1" ht="15.75" customHeight="1" x14ac:dyDescent="0.25">
      <c r="A27" s="17"/>
      <c r="B27" s="13"/>
      <c r="E27" s="514" t="s">
        <v>975</v>
      </c>
      <c r="F27" s="514"/>
      <c r="G27" s="514"/>
      <c r="H27" s="515">
        <f>ROUND(SUM(H23:I26),2)</f>
        <v>0</v>
      </c>
      <c r="I27" s="515"/>
      <c r="J27" s="536" t="s">
        <v>45</v>
      </c>
      <c r="K27" s="536"/>
      <c r="M27" s="118"/>
      <c r="N27" s="46"/>
      <c r="O27" s="46"/>
      <c r="P27" s="46"/>
      <c r="Q27" s="46"/>
      <c r="R27" s="46"/>
      <c r="S27" s="46"/>
    </row>
    <row r="28" spans="1:21" s="26" customFormat="1" ht="3" customHeight="1" x14ac:dyDescent="0.25">
      <c r="A28" s="17"/>
      <c r="B28" s="13"/>
      <c r="E28" s="124"/>
      <c r="F28" s="125"/>
      <c r="G28" s="125"/>
      <c r="H28" s="200"/>
      <c r="I28" s="200"/>
      <c r="J28" s="125"/>
      <c r="K28" s="125"/>
      <c r="M28" s="118"/>
      <c r="N28" s="46"/>
      <c r="O28" s="46"/>
      <c r="P28" s="46"/>
      <c r="Q28" s="46"/>
      <c r="R28" s="46"/>
      <c r="S28" s="46"/>
    </row>
    <row r="29" spans="1:21" ht="16.5" customHeight="1" x14ac:dyDescent="0.3">
      <c r="A29" s="17"/>
      <c r="E29" s="128" t="s">
        <v>972</v>
      </c>
      <c r="F29" s="514" t="s">
        <v>976</v>
      </c>
      <c r="G29" s="514"/>
      <c r="H29" s="515">
        <f>'4.2_Electricitat Espanya'!K20+'4.2_Electricitat Espanya'!K49</f>
        <v>0</v>
      </c>
      <c r="I29" s="515"/>
      <c r="J29" s="537" t="s">
        <v>749</v>
      </c>
      <c r="K29" s="537"/>
      <c r="L29" s="26"/>
      <c r="M29" s="118"/>
      <c r="N29" s="46"/>
      <c r="O29" s="46"/>
      <c r="P29" s="46"/>
      <c r="Q29" s="46"/>
      <c r="R29" s="46"/>
      <c r="S29" s="46"/>
    </row>
    <row r="30" spans="1:21" ht="3" customHeight="1" x14ac:dyDescent="0.3">
      <c r="A30" s="17"/>
      <c r="E30" s="46"/>
      <c r="F30" s="46"/>
      <c r="G30" s="46"/>
      <c r="H30" s="119"/>
      <c r="I30" s="119"/>
      <c r="J30" s="46"/>
      <c r="K30" s="46"/>
      <c r="L30" s="26"/>
      <c r="M30" s="118"/>
      <c r="N30" s="46"/>
      <c r="O30" s="46"/>
      <c r="P30" s="46"/>
      <c r="Q30" s="46"/>
      <c r="R30" s="46"/>
      <c r="S30" s="46"/>
    </row>
    <row r="31" spans="1:21" ht="16.5" customHeight="1" x14ac:dyDescent="0.3">
      <c r="A31" s="17"/>
      <c r="E31" s="519" t="s">
        <v>33</v>
      </c>
      <c r="F31" s="519"/>
      <c r="G31" s="519"/>
      <c r="H31" s="520">
        <f>IF(ISNUMBER(SUM(H27+H29)),ROUND(SUM(H27+H29),2),"")</f>
        <v>0</v>
      </c>
      <c r="I31" s="520"/>
      <c r="J31" s="538" t="s">
        <v>45</v>
      </c>
      <c r="K31" s="538"/>
      <c r="L31" s="26"/>
      <c r="M31" s="118"/>
      <c r="N31" s="46"/>
      <c r="O31" s="46"/>
      <c r="P31" s="46"/>
      <c r="Q31" s="46"/>
      <c r="R31" s="46"/>
      <c r="S31" s="46"/>
    </row>
    <row r="32" spans="1:21" s="26" customFormat="1" ht="16.5" customHeight="1" x14ac:dyDescent="0.25">
      <c r="A32" s="17"/>
      <c r="B32" s="13"/>
      <c r="E32" s="527" t="s">
        <v>980</v>
      </c>
      <c r="F32" s="527"/>
      <c r="G32" s="527"/>
      <c r="H32" s="527"/>
      <c r="I32" s="527"/>
      <c r="J32" s="527"/>
      <c r="K32" s="527"/>
      <c r="M32" s="118"/>
      <c r="N32" s="46"/>
      <c r="O32" s="46"/>
      <c r="P32" s="46"/>
      <c r="Q32" s="46"/>
      <c r="R32" s="46"/>
      <c r="S32" s="46"/>
    </row>
    <row r="33" spans="1:21" s="26" customFormat="1" ht="11.25" customHeight="1" x14ac:dyDescent="0.25">
      <c r="A33" s="47"/>
      <c r="B33" s="13"/>
      <c r="E33" s="129"/>
      <c r="F33" s="129"/>
      <c r="G33" s="129"/>
      <c r="H33" s="129"/>
      <c r="I33" s="129"/>
      <c r="J33" s="129"/>
      <c r="K33" s="129"/>
      <c r="L33" s="46"/>
      <c r="M33" s="46"/>
      <c r="N33" s="46"/>
      <c r="O33" s="46"/>
      <c r="P33" s="46"/>
      <c r="Q33" s="46"/>
      <c r="R33" s="46"/>
      <c r="S33" s="46"/>
    </row>
    <row r="34" spans="1:21" s="26" customFormat="1" ht="17.25" customHeight="1" x14ac:dyDescent="0.25">
      <c r="A34" s="47"/>
      <c r="B34" s="13"/>
      <c r="D34" s="470" t="s">
        <v>981</v>
      </c>
      <c r="E34" s="470"/>
      <c r="F34" s="470"/>
      <c r="G34" s="470"/>
      <c r="H34" s="470"/>
      <c r="I34" s="470"/>
      <c r="J34" s="470"/>
      <c r="K34" s="470"/>
      <c r="L34" s="470"/>
      <c r="M34" s="470"/>
      <c r="N34" s="470"/>
      <c r="O34" s="470"/>
      <c r="P34" s="470"/>
      <c r="Q34" s="470"/>
      <c r="R34" s="470"/>
      <c r="S34" s="470"/>
      <c r="T34" s="470"/>
      <c r="U34" s="470"/>
    </row>
    <row r="35" spans="1:21" s="26" customFormat="1" ht="9" customHeight="1" x14ac:dyDescent="0.25">
      <c r="A35" s="47"/>
      <c r="B35" s="13"/>
      <c r="E35" s="46"/>
      <c r="F35" s="46"/>
      <c r="G35" s="46"/>
      <c r="H35" s="46"/>
      <c r="I35" s="46"/>
      <c r="J35" s="46"/>
      <c r="K35" s="46"/>
      <c r="L35" s="46"/>
      <c r="M35" s="46"/>
      <c r="N35" s="46"/>
      <c r="O35" s="46"/>
      <c r="P35" s="46"/>
      <c r="Q35" s="46"/>
      <c r="R35" s="46"/>
      <c r="S35" s="46"/>
    </row>
    <row r="36" spans="1:21" s="26" customFormat="1" ht="4.5" customHeight="1" x14ac:dyDescent="0.3">
      <c r="A36" s="47"/>
      <c r="B36" s="13"/>
      <c r="E36" s="130"/>
      <c r="F36" s="131"/>
      <c r="G36" s="131"/>
      <c r="H36" s="132"/>
      <c r="I36" s="132"/>
      <c r="J36" s="133"/>
      <c r="K36" s="134"/>
      <c r="L36" s="2"/>
      <c r="M36" s="2"/>
      <c r="N36" s="46"/>
      <c r="O36" s="46"/>
      <c r="P36" s="46"/>
      <c r="Q36" s="46"/>
      <c r="R36" s="46"/>
      <c r="S36" s="46"/>
    </row>
    <row r="37" spans="1:21" ht="18" customHeight="1" x14ac:dyDescent="0.3">
      <c r="A37" s="47"/>
      <c r="E37" s="135"/>
      <c r="F37" s="136"/>
      <c r="G37" s="137" t="str">
        <f>IF(ISNUMBER(Dades!G546),Dades!G546,"")</f>
        <v/>
      </c>
      <c r="H37" s="138" t="s">
        <v>38</v>
      </c>
      <c r="I37" s="139" t="str">
        <f>IF(ISTEXT('0_Dades generals organització'!L27),'0_Dades generals organització'!L27,"")</f>
        <v>Unitats</v>
      </c>
      <c r="J37" s="140"/>
      <c r="K37" s="134"/>
      <c r="L37" s="2"/>
      <c r="M37" s="2"/>
      <c r="N37" s="46"/>
      <c r="O37" s="46"/>
      <c r="P37" s="46"/>
      <c r="Q37" s="46"/>
      <c r="R37" s="46"/>
      <c r="S37" s="46"/>
    </row>
    <row r="38" spans="1:21" ht="4.5" customHeight="1" x14ac:dyDescent="0.3">
      <c r="A38" s="47"/>
      <c r="E38" s="528" t="s">
        <v>982</v>
      </c>
      <c r="F38" s="136"/>
      <c r="G38" s="141"/>
      <c r="H38" s="142"/>
      <c r="I38" s="143"/>
      <c r="J38" s="140"/>
      <c r="K38" s="134"/>
      <c r="L38" s="2"/>
      <c r="M38" s="2"/>
      <c r="N38" s="46"/>
      <c r="O38" s="46"/>
      <c r="Q38" s="46"/>
      <c r="R38" s="46"/>
      <c r="S38" s="46"/>
    </row>
    <row r="39" spans="1:21" ht="18" customHeight="1" x14ac:dyDescent="0.3">
      <c r="A39" s="22"/>
      <c r="E39" s="528"/>
      <c r="F39" s="144">
        <f>IF(ISNUMBER(Dades!$G$544),Dades!$G$526,"")</f>
        <v>2020</v>
      </c>
      <c r="G39" s="137" t="str">
        <f>IF(ISNUMBER(Dades!G547),Dades!G547,"")</f>
        <v/>
      </c>
      <c r="H39" s="138" t="s">
        <v>39</v>
      </c>
      <c r="I39" s="145" t="s">
        <v>40</v>
      </c>
      <c r="J39" s="146"/>
      <c r="K39" s="134"/>
      <c r="L39" s="2"/>
      <c r="M39" s="2"/>
      <c r="N39" s="46"/>
      <c r="O39" s="46"/>
      <c r="P39" s="46"/>
      <c r="Q39" s="46"/>
      <c r="R39" s="46"/>
      <c r="S39" s="46"/>
    </row>
    <row r="40" spans="1:21" ht="4.5" customHeight="1" x14ac:dyDescent="0.3">
      <c r="A40" s="22"/>
      <c r="E40" s="528"/>
      <c r="F40" s="147"/>
      <c r="G40" s="148"/>
      <c r="H40" s="149"/>
      <c r="I40" s="150"/>
      <c r="J40" s="151"/>
      <c r="K40" s="134"/>
      <c r="L40" s="2"/>
      <c r="M40" s="2"/>
    </row>
    <row r="41" spans="1:21" ht="18" customHeight="1" x14ac:dyDescent="0.3">
      <c r="A41" s="22"/>
      <c r="E41" s="135"/>
      <c r="F41" s="152"/>
      <c r="G41" s="137" t="str">
        <f>IF(ISNUMBER(Dades!G548),Dades!G548,"")</f>
        <v/>
      </c>
      <c r="H41" s="138" t="s">
        <v>39</v>
      </c>
      <c r="I41" s="139" t="s">
        <v>986</v>
      </c>
      <c r="J41" s="146"/>
      <c r="K41" s="134"/>
      <c r="L41" s="2"/>
      <c r="M41" s="2"/>
    </row>
    <row r="42" spans="1:21" ht="4.5" customHeight="1" x14ac:dyDescent="0.3">
      <c r="A42" s="22"/>
      <c r="E42" s="153"/>
      <c r="F42" s="154"/>
      <c r="G42" s="155"/>
      <c r="H42" s="156"/>
      <c r="I42" s="156"/>
      <c r="J42" s="157"/>
      <c r="K42" s="134"/>
      <c r="L42" s="2"/>
      <c r="M42" s="2"/>
    </row>
    <row r="43" spans="1:21" ht="12.95" customHeight="1" x14ac:dyDescent="0.3">
      <c r="A43" s="22"/>
      <c r="F43" s="158"/>
      <c r="G43" s="159"/>
      <c r="H43" s="134"/>
      <c r="I43" s="134"/>
      <c r="J43" s="134"/>
      <c r="K43" s="134"/>
      <c r="L43" s="41"/>
      <c r="M43" s="41"/>
    </row>
    <row r="44" spans="1:21" ht="4.5" customHeight="1" x14ac:dyDescent="0.3">
      <c r="E44" s="160"/>
      <c r="F44" s="161"/>
      <c r="G44" s="162"/>
      <c r="H44" s="163"/>
      <c r="I44" s="164"/>
      <c r="J44" s="165"/>
      <c r="K44" s="134"/>
      <c r="L44" s="2"/>
      <c r="M44" s="2"/>
    </row>
    <row r="45" spans="1:21" ht="18" customHeight="1" x14ac:dyDescent="0.3">
      <c r="A45" s="26"/>
      <c r="B45" s="26"/>
      <c r="E45" s="166"/>
      <c r="F45" s="167"/>
      <c r="G45" s="201" t="str">
        <f>IF(ISNUMBER(Dades!D546),Dades!D546,"")</f>
        <v/>
      </c>
      <c r="H45" s="202" t="s">
        <v>46</v>
      </c>
      <c r="I45" s="169" t="str">
        <f>IF(ISTEXT(I37),I37,"")</f>
        <v>Unitats</v>
      </c>
      <c r="J45" s="170"/>
      <c r="K45" s="134"/>
      <c r="L45" s="2"/>
      <c r="M45" s="2"/>
    </row>
    <row r="46" spans="1:21" ht="4.5" customHeight="1" x14ac:dyDescent="0.3">
      <c r="A46" s="26"/>
      <c r="B46" s="26"/>
      <c r="E46" s="171"/>
      <c r="F46" s="167"/>
      <c r="G46" s="172"/>
      <c r="H46" s="173"/>
      <c r="I46" s="174"/>
      <c r="J46" s="170"/>
      <c r="K46" s="134"/>
      <c r="L46" s="2"/>
      <c r="M46" s="2"/>
    </row>
    <row r="47" spans="1:21" ht="18" customHeight="1" x14ac:dyDescent="0.3">
      <c r="A47" s="26"/>
      <c r="B47" s="26"/>
      <c r="E47" s="175" t="s">
        <v>983</v>
      </c>
      <c r="F47" s="176" t="str">
        <f>IF(ISNUMBER(Dades!$D$544),Dades!$D$544,"")</f>
        <v/>
      </c>
      <c r="G47" s="137" t="str">
        <f>IF(ISNUMBER(Dades!D547),Dades!D547,"")</f>
        <v/>
      </c>
      <c r="H47" s="202" t="s">
        <v>46</v>
      </c>
      <c r="I47" s="203" t="s">
        <v>47</v>
      </c>
      <c r="J47" s="178"/>
      <c r="K47" s="134"/>
      <c r="L47" s="2"/>
      <c r="M47" s="2"/>
    </row>
    <row r="48" spans="1:21" ht="4.5" customHeight="1" x14ac:dyDescent="0.3">
      <c r="A48" s="26"/>
      <c r="B48" s="26"/>
      <c r="E48" s="179"/>
      <c r="F48" s="180"/>
      <c r="G48" s="181"/>
      <c r="H48" s="168"/>
      <c r="I48" s="174"/>
      <c r="J48" s="170"/>
      <c r="K48" s="134"/>
      <c r="L48" s="2"/>
      <c r="M48" s="2"/>
    </row>
    <row r="49" spans="1:24" ht="18" customHeight="1" x14ac:dyDescent="0.3">
      <c r="A49" s="26"/>
      <c r="B49" s="26"/>
      <c r="E49" s="166"/>
      <c r="F49" s="182"/>
      <c r="G49" s="137" t="str">
        <f>IF(ISNUMBER(Dades!D548),Dades!D548,"")</f>
        <v/>
      </c>
      <c r="H49" s="202" t="s">
        <v>46</v>
      </c>
      <c r="I49" s="169" t="s">
        <v>986</v>
      </c>
      <c r="J49" s="178"/>
      <c r="K49" s="134"/>
      <c r="L49" s="196"/>
      <c r="M49" s="196"/>
      <c r="N49" s="196"/>
      <c r="O49" s="196"/>
      <c r="P49" s="196"/>
      <c r="Q49" s="196"/>
      <c r="R49" s="196"/>
      <c r="S49" s="196"/>
      <c r="T49" s="196"/>
      <c r="U49" s="196"/>
      <c r="V49" s="196"/>
      <c r="W49" s="196"/>
      <c r="X49" s="196"/>
    </row>
    <row r="50" spans="1:24" ht="4.5" customHeight="1" x14ac:dyDescent="0.3">
      <c r="A50" s="26"/>
      <c r="B50" s="26"/>
      <c r="E50" s="183"/>
      <c r="F50" s="184"/>
      <c r="G50" s="185"/>
      <c r="H50" s="186"/>
      <c r="I50" s="186"/>
      <c r="J50" s="187"/>
      <c r="K50" s="134"/>
      <c r="L50" s="196"/>
      <c r="M50" s="196"/>
      <c r="N50" s="196"/>
      <c r="O50" s="196"/>
      <c r="P50" s="196"/>
      <c r="Q50" s="196"/>
      <c r="R50" s="196"/>
      <c r="S50" s="196"/>
      <c r="T50" s="196"/>
      <c r="U50" s="196"/>
      <c r="V50" s="196"/>
      <c r="W50" s="196"/>
      <c r="X50" s="196"/>
    </row>
    <row r="51" spans="1:24" s="73" customFormat="1" ht="12.95" customHeight="1" x14ac:dyDescent="0.3">
      <c r="A51" s="13"/>
      <c r="B51" s="13"/>
      <c r="C51" s="2"/>
      <c r="D51" s="2"/>
      <c r="E51" s="2"/>
      <c r="F51" s="158"/>
      <c r="G51" s="188"/>
      <c r="H51" s="105"/>
      <c r="I51" s="105"/>
      <c r="J51" s="105"/>
      <c r="K51" s="105"/>
      <c r="L51" s="196"/>
      <c r="M51" s="196"/>
      <c r="N51" s="196"/>
      <c r="O51" s="196"/>
      <c r="P51" s="196"/>
      <c r="Q51" s="196"/>
      <c r="R51" s="196"/>
      <c r="S51" s="196"/>
      <c r="T51" s="196"/>
      <c r="U51" s="196"/>
      <c r="V51" s="196"/>
      <c r="W51" s="196"/>
      <c r="X51" s="196"/>
    </row>
    <row r="52" spans="1:24" s="73" customFormat="1" ht="4.5" customHeight="1" x14ac:dyDescent="0.3">
      <c r="A52" s="13"/>
      <c r="B52" s="13"/>
      <c r="C52" s="2"/>
      <c r="D52" s="2"/>
      <c r="E52" s="160"/>
      <c r="F52" s="161"/>
      <c r="G52" s="162"/>
      <c r="H52" s="163"/>
      <c r="I52" s="164"/>
      <c r="J52" s="165"/>
      <c r="K52" s="134"/>
      <c r="L52" s="196"/>
      <c r="M52" s="196"/>
      <c r="N52" s="196"/>
      <c r="O52" s="196"/>
      <c r="P52" s="196"/>
      <c r="Q52" s="196"/>
      <c r="R52" s="196"/>
      <c r="S52" s="196"/>
      <c r="T52" s="196"/>
      <c r="U52" s="196"/>
      <c r="V52" s="196"/>
      <c r="W52" s="196"/>
      <c r="X52" s="196"/>
    </row>
    <row r="53" spans="1:24" s="73" customFormat="1" ht="18" customHeight="1" x14ac:dyDescent="0.3">
      <c r="A53" s="13"/>
      <c r="B53" s="13"/>
      <c r="C53" s="2"/>
      <c r="D53" s="2"/>
      <c r="E53" s="166"/>
      <c r="F53" s="167"/>
      <c r="G53" s="137" t="str">
        <f>IF(ISNUMBER(Dades!E546),Dades!E546,"")</f>
        <v/>
      </c>
      <c r="H53" s="202" t="s">
        <v>46</v>
      </c>
      <c r="I53" s="169" t="str">
        <f>IF(ISTEXT(I37),I37,"")</f>
        <v>Unitats</v>
      </c>
      <c r="J53" s="170"/>
      <c r="K53" s="134"/>
      <c r="L53" s="196"/>
      <c r="M53" s="196"/>
      <c r="N53" s="196"/>
      <c r="O53" s="196"/>
      <c r="P53" s="196"/>
      <c r="Q53" s="196"/>
      <c r="R53" s="196"/>
      <c r="S53" s="196"/>
      <c r="T53" s="196"/>
      <c r="U53" s="196"/>
      <c r="V53" s="196"/>
      <c r="W53" s="196"/>
      <c r="X53" s="196"/>
    </row>
    <row r="54" spans="1:24" s="73" customFormat="1" ht="4.5" customHeight="1" x14ac:dyDescent="0.3">
      <c r="A54" s="13"/>
      <c r="B54" s="13"/>
      <c r="C54" s="2"/>
      <c r="D54" s="2"/>
      <c r="E54" s="171"/>
      <c r="F54" s="167"/>
      <c r="G54" s="172"/>
      <c r="H54" s="173"/>
      <c r="I54" s="174"/>
      <c r="J54" s="170"/>
      <c r="K54" s="134"/>
      <c r="L54" s="196"/>
      <c r="M54" s="196"/>
      <c r="N54" s="196"/>
      <c r="O54" s="196"/>
      <c r="P54" s="196"/>
      <c r="Q54" s="196"/>
      <c r="R54" s="196"/>
      <c r="S54" s="196"/>
      <c r="T54" s="196"/>
      <c r="U54" s="196"/>
      <c r="V54" s="196"/>
      <c r="W54" s="196"/>
      <c r="X54" s="196"/>
    </row>
    <row r="55" spans="1:24" s="73" customFormat="1" ht="18" customHeight="1" x14ac:dyDescent="0.3">
      <c r="A55" s="13"/>
      <c r="B55" s="13"/>
      <c r="C55" s="2"/>
      <c r="D55" s="2"/>
      <c r="E55" s="175" t="s">
        <v>984</v>
      </c>
      <c r="F55" s="176" t="str">
        <f>IF(ISNUMBER(Dades!E544),Dades!E544,"")</f>
        <v/>
      </c>
      <c r="G55" s="137" t="str">
        <f>IF(ISNUMBER(Dades!E547),Dades!E547,"")</f>
        <v/>
      </c>
      <c r="H55" s="202" t="s">
        <v>46</v>
      </c>
      <c r="I55" s="203" t="s">
        <v>47</v>
      </c>
      <c r="J55" s="178"/>
      <c r="K55" s="134"/>
      <c r="L55" s="196"/>
      <c r="M55" s="196"/>
      <c r="N55" s="196"/>
      <c r="O55" s="196"/>
      <c r="P55" s="196"/>
      <c r="Q55" s="196"/>
      <c r="R55" s="196"/>
      <c r="S55" s="196"/>
      <c r="T55" s="196"/>
      <c r="U55" s="196"/>
      <c r="V55" s="196"/>
      <c r="W55" s="196"/>
      <c r="X55" s="196"/>
    </row>
    <row r="56" spans="1:24" s="73" customFormat="1" ht="4.5" customHeight="1" x14ac:dyDescent="0.3">
      <c r="A56" s="13"/>
      <c r="B56" s="13"/>
      <c r="C56" s="2"/>
      <c r="D56" s="2"/>
      <c r="E56" s="179"/>
      <c r="F56" s="180"/>
      <c r="G56" s="181"/>
      <c r="H56" s="168"/>
      <c r="I56" s="174"/>
      <c r="J56" s="170"/>
      <c r="K56" s="134"/>
      <c r="L56" s="196"/>
      <c r="M56" s="196"/>
      <c r="N56" s="196"/>
      <c r="O56" s="196"/>
      <c r="P56" s="196"/>
      <c r="Q56" s="196"/>
      <c r="R56" s="196"/>
      <c r="S56" s="196"/>
      <c r="T56" s="196"/>
      <c r="U56" s="196"/>
      <c r="V56" s="196"/>
      <c r="W56" s="196"/>
      <c r="X56" s="196"/>
    </row>
    <row r="57" spans="1:24" s="73" customFormat="1" ht="18" customHeight="1" x14ac:dyDescent="0.3">
      <c r="A57" s="13"/>
      <c r="B57" s="13"/>
      <c r="C57" s="2"/>
      <c r="D57" s="2"/>
      <c r="E57" s="166"/>
      <c r="F57" s="182"/>
      <c r="G57" s="137" t="str">
        <f>IF(ISNUMBER(Dades!E548),Dades!E548,"")</f>
        <v/>
      </c>
      <c r="H57" s="202" t="s">
        <v>46</v>
      </c>
      <c r="I57" s="169" t="s">
        <v>986</v>
      </c>
      <c r="J57" s="178"/>
      <c r="K57" s="134"/>
      <c r="L57" s="196"/>
      <c r="M57" s="196"/>
      <c r="N57" s="196"/>
      <c r="O57" s="196"/>
      <c r="P57" s="196"/>
      <c r="Q57" s="196"/>
      <c r="R57" s="196"/>
      <c r="S57" s="196"/>
      <c r="T57" s="196"/>
      <c r="U57" s="196"/>
      <c r="V57" s="196"/>
      <c r="W57" s="196"/>
      <c r="X57" s="196"/>
    </row>
    <row r="58" spans="1:24" s="73" customFormat="1" ht="4.5" customHeight="1" x14ac:dyDescent="0.3">
      <c r="A58" s="13"/>
      <c r="B58" s="13"/>
      <c r="C58" s="2"/>
      <c r="D58" s="2"/>
      <c r="E58" s="183"/>
      <c r="F58" s="184"/>
      <c r="G58" s="185"/>
      <c r="H58" s="186"/>
      <c r="I58" s="186"/>
      <c r="J58" s="187"/>
      <c r="K58" s="134"/>
      <c r="L58" s="196"/>
      <c r="M58" s="196"/>
      <c r="N58" s="196"/>
      <c r="O58" s="196"/>
      <c r="P58" s="196"/>
      <c r="Q58" s="196"/>
      <c r="R58" s="196"/>
      <c r="S58" s="196"/>
      <c r="T58" s="196"/>
      <c r="U58" s="196"/>
      <c r="V58" s="196"/>
      <c r="W58" s="196"/>
      <c r="X58" s="196"/>
    </row>
    <row r="59" spans="1:24" s="73" customFormat="1" ht="12.95" customHeight="1" x14ac:dyDescent="0.3">
      <c r="A59" s="13"/>
      <c r="B59" s="13"/>
      <c r="C59" s="2"/>
      <c r="D59" s="2"/>
      <c r="E59" s="2"/>
      <c r="F59" s="158"/>
      <c r="G59" s="188"/>
      <c r="H59" s="105"/>
      <c r="I59" s="105"/>
      <c r="J59" s="105"/>
      <c r="K59" s="105"/>
      <c r="L59" s="196"/>
      <c r="M59" s="196"/>
      <c r="N59" s="196"/>
      <c r="O59" s="196"/>
      <c r="P59" s="196"/>
      <c r="Q59" s="196"/>
      <c r="R59" s="196"/>
      <c r="S59" s="196"/>
      <c r="T59" s="196"/>
      <c r="U59" s="196"/>
      <c r="V59" s="196"/>
      <c r="W59" s="196"/>
      <c r="X59" s="196"/>
    </row>
    <row r="60" spans="1:24" s="73" customFormat="1" ht="4.5" customHeight="1" x14ac:dyDescent="0.3">
      <c r="A60" s="13"/>
      <c r="B60" s="13"/>
      <c r="C60" s="2"/>
      <c r="D60" s="2"/>
      <c r="E60" s="160"/>
      <c r="F60" s="161"/>
      <c r="G60" s="162"/>
      <c r="H60" s="163"/>
      <c r="I60" s="164"/>
      <c r="J60" s="165"/>
      <c r="K60" s="134"/>
      <c r="L60" s="196"/>
      <c r="M60" s="196"/>
      <c r="N60" s="196"/>
      <c r="O60" s="196"/>
      <c r="P60" s="196"/>
      <c r="Q60" s="196"/>
      <c r="R60" s="196"/>
      <c r="S60" s="196"/>
      <c r="T60" s="196"/>
      <c r="U60" s="196"/>
      <c r="V60" s="196"/>
      <c r="W60" s="196"/>
      <c r="X60" s="196"/>
    </row>
    <row r="61" spans="1:24" s="73" customFormat="1" ht="18" customHeight="1" x14ac:dyDescent="0.3">
      <c r="A61" s="13"/>
      <c r="B61" s="13"/>
      <c r="C61" s="2"/>
      <c r="D61" s="2"/>
      <c r="E61" s="166"/>
      <c r="F61" s="167"/>
      <c r="G61" s="137" t="str">
        <f>IF(ISNUMBER(Dades!F546),Dades!F546,"")</f>
        <v/>
      </c>
      <c r="H61" s="202" t="s">
        <v>46</v>
      </c>
      <c r="I61" s="169" t="str">
        <f>IF(ISTEXT(I37),I37,"")</f>
        <v>Unitats</v>
      </c>
      <c r="J61" s="170"/>
      <c r="K61" s="134"/>
      <c r="L61" s="196"/>
      <c r="M61" s="196"/>
      <c r="N61" s="196"/>
      <c r="O61" s="196"/>
      <c r="P61" s="196"/>
      <c r="Q61" s="196"/>
      <c r="R61" s="196"/>
      <c r="S61" s="196"/>
      <c r="T61" s="196"/>
      <c r="U61" s="196"/>
      <c r="V61" s="196"/>
      <c r="W61" s="196"/>
      <c r="X61" s="196"/>
    </row>
    <row r="62" spans="1:24" s="73" customFormat="1" ht="4.5" customHeight="1" x14ac:dyDescent="0.3">
      <c r="A62" s="13"/>
      <c r="B62" s="13"/>
      <c r="C62" s="2"/>
      <c r="D62" s="2"/>
      <c r="E62" s="171"/>
      <c r="F62" s="167"/>
      <c r="G62" s="172"/>
      <c r="H62" s="173"/>
      <c r="I62" s="174"/>
      <c r="J62" s="170"/>
      <c r="K62" s="134"/>
      <c r="L62" s="196"/>
      <c r="M62" s="196"/>
      <c r="N62" s="196"/>
      <c r="O62" s="196"/>
      <c r="P62" s="196"/>
      <c r="Q62" s="196"/>
      <c r="R62" s="196"/>
      <c r="S62" s="196"/>
      <c r="T62" s="196"/>
      <c r="U62" s="196"/>
      <c r="V62" s="196"/>
      <c r="W62" s="196"/>
      <c r="X62" s="196"/>
    </row>
    <row r="63" spans="1:24" s="73" customFormat="1" ht="18" customHeight="1" x14ac:dyDescent="0.3">
      <c r="A63" s="13"/>
      <c r="B63" s="13"/>
      <c r="C63" s="2"/>
      <c r="D63" s="2"/>
      <c r="E63" s="175" t="s">
        <v>985</v>
      </c>
      <c r="F63" s="176" t="str">
        <f>IF(ISNUMBER(Dades!$F$526),Dades!$F$526,"")</f>
        <v/>
      </c>
      <c r="G63" s="137" t="str">
        <f>IF(ISNUMBER(Dades!F547),Dades!F547,"")</f>
        <v/>
      </c>
      <c r="H63" s="202" t="s">
        <v>46</v>
      </c>
      <c r="I63" s="203" t="s">
        <v>47</v>
      </c>
      <c r="J63" s="178"/>
      <c r="K63" s="134"/>
      <c r="L63" s="196"/>
      <c r="M63" s="196"/>
      <c r="N63" s="196"/>
      <c r="O63" s="196"/>
      <c r="P63" s="196"/>
      <c r="Q63" s="196"/>
      <c r="R63" s="196"/>
      <c r="S63" s="196"/>
      <c r="T63" s="196"/>
      <c r="U63" s="196"/>
      <c r="V63" s="196"/>
      <c r="W63" s="196"/>
      <c r="X63" s="196"/>
    </row>
    <row r="64" spans="1:24" s="73" customFormat="1" ht="4.5" customHeight="1" x14ac:dyDescent="0.3">
      <c r="A64" s="13"/>
      <c r="B64" s="13"/>
      <c r="C64" s="2"/>
      <c r="D64" s="2"/>
      <c r="E64" s="179"/>
      <c r="F64" s="180"/>
      <c r="G64" s="181"/>
      <c r="H64" s="168"/>
      <c r="I64" s="174"/>
      <c r="J64" s="170"/>
      <c r="K64" s="134"/>
      <c r="L64" s="196"/>
      <c r="M64" s="196"/>
      <c r="N64" s="196"/>
      <c r="O64" s="196"/>
      <c r="P64" s="196"/>
      <c r="Q64" s="196"/>
      <c r="R64" s="196"/>
      <c r="S64" s="196"/>
      <c r="T64" s="196"/>
      <c r="U64" s="196"/>
      <c r="V64" s="196"/>
      <c r="W64" s="196"/>
      <c r="X64" s="196"/>
    </row>
    <row r="65" spans="1:24" s="73" customFormat="1" ht="18" customHeight="1" x14ac:dyDescent="0.3">
      <c r="A65" s="13"/>
      <c r="B65" s="13"/>
      <c r="C65" s="2"/>
      <c r="D65" s="2"/>
      <c r="E65" s="166"/>
      <c r="F65" s="182"/>
      <c r="G65" s="137" t="str">
        <f>IF(ISNUMBER(Dades!F548),Dades!F548,"")</f>
        <v/>
      </c>
      <c r="H65" s="202" t="s">
        <v>46</v>
      </c>
      <c r="I65" s="169" t="s">
        <v>986</v>
      </c>
      <c r="J65" s="178"/>
      <c r="K65" s="134"/>
      <c r="L65" s="196"/>
      <c r="M65" s="196"/>
      <c r="N65" s="196"/>
      <c r="O65" s="543"/>
      <c r="P65" s="544"/>
      <c r="Q65" s="543"/>
      <c r="R65" s="196"/>
      <c r="S65" s="196"/>
      <c r="T65" s="196"/>
      <c r="U65" s="196"/>
      <c r="V65" s="196"/>
      <c r="W65" s="196"/>
      <c r="X65" s="196"/>
    </row>
    <row r="66" spans="1:24" s="73" customFormat="1" ht="4.5" customHeight="1" x14ac:dyDescent="0.3">
      <c r="A66" s="13"/>
      <c r="B66" s="13"/>
      <c r="C66" s="2"/>
      <c r="D66" s="2"/>
      <c r="E66" s="183"/>
      <c r="F66" s="184"/>
      <c r="G66" s="185"/>
      <c r="H66" s="186"/>
      <c r="I66" s="186"/>
      <c r="J66" s="187"/>
      <c r="K66" s="134"/>
      <c r="L66" s="196"/>
      <c r="M66" s="196"/>
      <c r="N66" s="196"/>
      <c r="O66" s="543"/>
      <c r="P66" s="544"/>
      <c r="Q66" s="543"/>
      <c r="R66" s="196"/>
      <c r="S66" s="196"/>
      <c r="T66" s="196"/>
      <c r="U66" s="196"/>
      <c r="V66" s="196"/>
      <c r="W66" s="196"/>
      <c r="X66" s="196"/>
    </row>
    <row r="67" spans="1:24" s="73" customFormat="1" ht="8.25" customHeight="1" x14ac:dyDescent="0.3">
      <c r="A67" s="13"/>
      <c r="B67" s="13"/>
      <c r="C67" s="2"/>
      <c r="D67" s="2"/>
      <c r="E67" s="2"/>
      <c r="F67" s="2"/>
      <c r="G67" s="105"/>
      <c r="H67" s="105"/>
      <c r="I67" s="105"/>
      <c r="J67" s="105"/>
      <c r="K67" s="105"/>
      <c r="L67" s="196"/>
      <c r="M67" s="196"/>
      <c r="N67" s="196"/>
      <c r="O67" s="196"/>
      <c r="P67" s="196"/>
      <c r="Q67" s="196"/>
      <c r="R67" s="196"/>
      <c r="S67" s="196"/>
      <c r="T67" s="196"/>
      <c r="U67" s="196"/>
      <c r="V67" s="196"/>
      <c r="W67" s="196"/>
      <c r="X67" s="196"/>
    </row>
    <row r="68" spans="1:24" x14ac:dyDescent="0.3">
      <c r="D68" s="470" t="s">
        <v>1020</v>
      </c>
      <c r="E68" s="470"/>
      <c r="F68" s="470"/>
      <c r="G68" s="470"/>
      <c r="H68" s="470"/>
      <c r="I68" s="470"/>
      <c r="J68" s="470"/>
      <c r="K68" s="470"/>
      <c r="L68" s="470"/>
      <c r="M68" s="470"/>
      <c r="N68" s="470"/>
      <c r="O68" s="470"/>
      <c r="P68" s="470"/>
      <c r="Q68" s="470"/>
      <c r="R68" s="470"/>
      <c r="S68" s="470"/>
      <c r="T68" s="470"/>
      <c r="U68" s="470"/>
    </row>
    <row r="69" spans="1:24" s="73" customFormat="1" ht="17.25" customHeight="1" x14ac:dyDescent="0.3">
      <c r="A69" s="13"/>
      <c r="B69" s="13"/>
      <c r="C69" s="2"/>
      <c r="D69" s="193" t="s">
        <v>1003</v>
      </c>
      <c r="E69" s="194"/>
      <c r="F69" s="2"/>
      <c r="G69" s="105"/>
      <c r="H69" s="105"/>
      <c r="I69" s="105"/>
      <c r="J69" s="105"/>
      <c r="K69" s="105"/>
      <c r="L69" s="2"/>
      <c r="M69" s="2"/>
      <c r="N69" s="2"/>
      <c r="O69" s="2"/>
      <c r="P69" s="2"/>
      <c r="Q69" s="2"/>
      <c r="R69" s="2"/>
      <c r="S69" s="2"/>
      <c r="T69" s="2"/>
      <c r="U69" s="2"/>
    </row>
    <row r="71" spans="1:24" ht="33" customHeight="1" x14ac:dyDescent="0.3">
      <c r="E71" s="391" t="s">
        <v>849</v>
      </c>
      <c r="F71" s="197" t="s">
        <v>979</v>
      </c>
      <c r="G71" s="197" t="s">
        <v>990</v>
      </c>
      <c r="H71" s="533" t="s">
        <v>993</v>
      </c>
      <c r="I71" s="533"/>
      <c r="J71" s="532" t="s">
        <v>971</v>
      </c>
      <c r="K71" s="532"/>
      <c r="L71" s="532"/>
      <c r="M71" s="532"/>
      <c r="N71" s="533" t="s">
        <v>1014</v>
      </c>
      <c r="O71" s="533"/>
      <c r="P71" s="532" t="s">
        <v>973</v>
      </c>
      <c r="Q71" s="532"/>
      <c r="R71" s="532"/>
    </row>
    <row r="72" spans="1:24" x14ac:dyDescent="0.3">
      <c r="E72" s="197" t="str">
        <f>IF(Dades!C662="","",Dades!C662)</f>
        <v/>
      </c>
      <c r="F72" s="396">
        <f>DSUM('1_Combustibles fòssils'!$E$17:$N$39,"emisiones",'6.2_Resultats Espanya'!E71:E72)/1000</f>
        <v>0</v>
      </c>
      <c r="G72" s="396">
        <f>DSUM('2_Fluorats'!$E$11:$P$33,"emisiones",'6.2_Resultats Espanya'!E71:E72)/1000</f>
        <v>0</v>
      </c>
      <c r="H72" s="507">
        <f>DSUM('3_Emissions processos'!$E$13:$L$35,"emisiones",'6.2_Resultats Espanya'!E71:E72)/1000</f>
        <v>0</v>
      </c>
      <c r="I72" s="507"/>
      <c r="J72" s="508">
        <f>SUM(F72:I72)</f>
        <v>0</v>
      </c>
      <c r="K72" s="508"/>
      <c r="L72" s="508"/>
      <c r="M72" s="508"/>
      <c r="N72" s="507">
        <f>DSUM('4.2_Electricitat Espanya'!$E$19:$J$41,"emisiones",'6.2_Resultats Espanya'!E71:E72)/1000</f>
        <v>0</v>
      </c>
      <c r="O72" s="507"/>
      <c r="P72" s="508">
        <f>J72+N72</f>
        <v>0</v>
      </c>
      <c r="Q72" s="508"/>
      <c r="R72" s="508"/>
    </row>
    <row r="73" spans="1:24" x14ac:dyDescent="0.3">
      <c r="E73" s="197" t="str">
        <f>IF(Dades!C663="","",Dades!C663)</f>
        <v/>
      </c>
      <c r="F73" s="396">
        <f>(DSUM('1_Combustibles fòssils'!$E$17:$N$39,"emisiones",'6.2_Resultats Espanya'!E$71:E73)/1000)-SUM(F$72:F72)</f>
        <v>0</v>
      </c>
      <c r="G73" s="396">
        <f>(DSUM('2_Fluorats'!$E$11:$P$33,"emisiones",'6.2_Resultats Espanya'!E$71:E73)/1000)-SUM(G$72:G72)</f>
        <v>0</v>
      </c>
      <c r="H73" s="507">
        <f>(DSUM('3_Emissions processos'!$E$13:$L$35,"emisiones",'6.2_Resultats Espanya'!E$71:E73)/1000)-SUM(H$72:H72)</f>
        <v>0</v>
      </c>
      <c r="I73" s="507"/>
      <c r="J73" s="508">
        <f t="shared" ref="J73" si="0">SUM(F73:I73)</f>
        <v>0</v>
      </c>
      <c r="K73" s="508"/>
      <c r="L73" s="508"/>
      <c r="M73" s="508"/>
      <c r="N73" s="507">
        <f>(DSUM('4.2_Electricitat Espanya'!$E$19:$J$41,"emisiones",'6.2_Resultats Espanya'!E$71:E73)/1000)-SUM(N$72:N72)</f>
        <v>0</v>
      </c>
      <c r="O73" s="507"/>
      <c r="P73" s="508">
        <f t="shared" ref="P73" si="1">J73+N73</f>
        <v>0</v>
      </c>
      <c r="Q73" s="508"/>
      <c r="R73" s="508"/>
    </row>
    <row r="74" spans="1:24" x14ac:dyDescent="0.3">
      <c r="E74" s="197" t="str">
        <f>IF(Dades!C664="","",Dades!C664)</f>
        <v/>
      </c>
      <c r="F74" s="396">
        <f>(DSUM('1_Combustibles fòssils'!$E$17:$N$39,"emisiones",'6.2_Resultats Espanya'!E$71:E74)/1000)-SUM(F$72:F73)</f>
        <v>0</v>
      </c>
      <c r="G74" s="396">
        <f>(DSUM('2_Fluorats'!$E$11:$P$33,"emisiones",'6.2_Resultats Espanya'!E$71:E74)/1000)-SUM(G$72:G73)</f>
        <v>0</v>
      </c>
      <c r="H74" s="507">
        <f>(DSUM('3_Emissions processos'!$E$13:$L$35,"emisiones",'6.2_Resultats Espanya'!E$71:E74)/1000)-SUM(H$72:H73)</f>
        <v>0</v>
      </c>
      <c r="I74" s="507"/>
      <c r="J74" s="508">
        <f t="shared" ref="J74:J137" si="2">SUM(F74:I74)</f>
        <v>0</v>
      </c>
      <c r="K74" s="508"/>
      <c r="L74" s="508"/>
      <c r="M74" s="508"/>
      <c r="N74" s="507">
        <f>(DSUM('4.2_Electricitat Espanya'!$E$19:$J$41,"emisiones",'6.2_Resultats Espanya'!E$71:E74)/1000)-SUM(N$72:N73)</f>
        <v>0</v>
      </c>
      <c r="O74" s="507"/>
      <c r="P74" s="508">
        <f t="shared" ref="P74:P137" si="3">J74+N74</f>
        <v>0</v>
      </c>
      <c r="Q74" s="508"/>
      <c r="R74" s="508"/>
    </row>
    <row r="75" spans="1:24" x14ac:dyDescent="0.3">
      <c r="E75" s="197" t="str">
        <f>IF(Dades!C665="","",Dades!C665)</f>
        <v/>
      </c>
      <c r="F75" s="396">
        <f>(DSUM('1_Combustibles fòssils'!$E$17:$N$39,"emisiones",'6.2_Resultats Espanya'!E$71:E75)/1000)-SUM(F$72:F74)</f>
        <v>0</v>
      </c>
      <c r="G75" s="396">
        <f>(DSUM('2_Fluorats'!$E$11:$P$33,"emisiones",'6.2_Resultats Espanya'!E$71:E75)/1000)-SUM(G$72:G74)</f>
        <v>0</v>
      </c>
      <c r="H75" s="507">
        <f>(DSUM('3_Emissions processos'!$E$13:$L$35,"emisiones",'6.2_Resultats Espanya'!E$71:E75)/1000)-SUM(H$72:H74)</f>
        <v>0</v>
      </c>
      <c r="I75" s="507"/>
      <c r="J75" s="508">
        <f t="shared" si="2"/>
        <v>0</v>
      </c>
      <c r="K75" s="508"/>
      <c r="L75" s="508"/>
      <c r="M75" s="508"/>
      <c r="N75" s="507">
        <f>(DSUM('4.2_Electricitat Espanya'!$E$19:$J$41,"emisiones",'6.2_Resultats Espanya'!E$71:E75)/1000)-SUM(N$72:N74)</f>
        <v>0</v>
      </c>
      <c r="O75" s="507"/>
      <c r="P75" s="508">
        <f t="shared" si="3"/>
        <v>0</v>
      </c>
      <c r="Q75" s="508"/>
      <c r="R75" s="508"/>
      <c r="S75" s="400"/>
      <c r="T75" s="400"/>
      <c r="U75" s="400"/>
    </row>
    <row r="76" spans="1:24" x14ac:dyDescent="0.3">
      <c r="E76" s="197" t="str">
        <f>IF(Dades!C666="","",Dades!C666)</f>
        <v/>
      </c>
      <c r="F76" s="396">
        <f>(DSUM('1_Combustibles fòssils'!$E$17:$N$39,"emisiones",'6.2_Resultats Espanya'!E$71:E76)/1000)-SUM(F$72:F75)</f>
        <v>0</v>
      </c>
      <c r="G76" s="396">
        <f>(DSUM('2_Fluorats'!$E$11:$P$33,"emisiones",'6.2_Resultats Espanya'!E$71:E76)/1000)-SUM(G$72:G75)</f>
        <v>0</v>
      </c>
      <c r="H76" s="507">
        <f>(DSUM('3_Emissions processos'!$E$13:$L$35,"emisiones",'6.2_Resultats Espanya'!E$71:E76)/1000)-SUM(H$72:H75)</f>
        <v>0</v>
      </c>
      <c r="I76" s="507"/>
      <c r="J76" s="508">
        <f t="shared" si="2"/>
        <v>0</v>
      </c>
      <c r="K76" s="508"/>
      <c r="L76" s="508"/>
      <c r="M76" s="508"/>
      <c r="N76" s="507">
        <f>(DSUM('4.2_Electricitat Espanya'!$E$19:$J$41,"emisiones",'6.2_Resultats Espanya'!E$71:E76)/1000)-SUM(N$72:N75)</f>
        <v>0</v>
      </c>
      <c r="O76" s="507"/>
      <c r="P76" s="508">
        <f t="shared" si="3"/>
        <v>0</v>
      </c>
      <c r="Q76" s="508"/>
      <c r="R76" s="508"/>
      <c r="S76" s="400"/>
      <c r="T76" s="400"/>
      <c r="U76" s="400"/>
    </row>
    <row r="77" spans="1:24" x14ac:dyDescent="0.3">
      <c r="E77" s="197" t="str">
        <f>IF(Dades!C667="","",Dades!C667)</f>
        <v/>
      </c>
      <c r="F77" s="396">
        <f>(DSUM('1_Combustibles fòssils'!$E$17:$N$39,"emisiones",'6.2_Resultats Espanya'!E$71:E77)/1000)-SUM(F$72:F76)</f>
        <v>0</v>
      </c>
      <c r="G77" s="396">
        <f>(DSUM('2_Fluorats'!$E$11:$P$33,"emisiones",'6.2_Resultats Espanya'!E$71:E77)/1000)-SUM(G$72:G76)</f>
        <v>0</v>
      </c>
      <c r="H77" s="507">
        <f>(DSUM('3_Emissions processos'!$E$13:$L$35,"emisiones",'6.2_Resultats Espanya'!E$71:E77)/1000)-SUM(H$72:H76)</f>
        <v>0</v>
      </c>
      <c r="I77" s="507"/>
      <c r="J77" s="508">
        <f t="shared" si="2"/>
        <v>0</v>
      </c>
      <c r="K77" s="508"/>
      <c r="L77" s="508"/>
      <c r="M77" s="508"/>
      <c r="N77" s="507">
        <f>(DSUM('4.2_Electricitat Espanya'!$E$19:$J$41,"emisiones",'6.2_Resultats Espanya'!E$71:E77)/1000)-SUM(N$72:N76)</f>
        <v>0</v>
      </c>
      <c r="O77" s="507"/>
      <c r="P77" s="508">
        <f t="shared" si="3"/>
        <v>0</v>
      </c>
      <c r="Q77" s="508"/>
      <c r="R77" s="508"/>
      <c r="S77" s="400"/>
      <c r="T77" s="400"/>
      <c r="U77" s="400"/>
    </row>
    <row r="78" spans="1:24" x14ac:dyDescent="0.3">
      <c r="E78" s="197" t="str">
        <f>IF(Dades!C668="","",Dades!C668)</f>
        <v/>
      </c>
      <c r="F78" s="396">
        <f>(DSUM('1_Combustibles fòssils'!$E$17:$N$39,"emisiones",'6.2_Resultats Espanya'!E$71:E78)/1000)-SUM(F$72:F77)</f>
        <v>0</v>
      </c>
      <c r="G78" s="396">
        <f>(DSUM('2_Fluorats'!$E$11:$P$33,"emisiones",'6.2_Resultats Espanya'!E$71:E78)/1000)-SUM(G$72:G77)</f>
        <v>0</v>
      </c>
      <c r="H78" s="507">
        <f>(DSUM('3_Emissions processos'!$E$13:$L$35,"emisiones",'6.2_Resultats Espanya'!E$71:E78)/1000)-SUM(H$72:H77)</f>
        <v>0</v>
      </c>
      <c r="I78" s="507"/>
      <c r="J78" s="508">
        <f t="shared" si="2"/>
        <v>0</v>
      </c>
      <c r="K78" s="508"/>
      <c r="L78" s="508"/>
      <c r="M78" s="508"/>
      <c r="N78" s="507">
        <f>(DSUM('4.2_Electricitat Espanya'!$E$19:$J$41,"emisiones",'6.2_Resultats Espanya'!E$71:E78)/1000)-SUM(N$72:N77)</f>
        <v>0</v>
      </c>
      <c r="O78" s="507"/>
      <c r="P78" s="508">
        <f t="shared" si="3"/>
        <v>0</v>
      </c>
      <c r="Q78" s="508"/>
      <c r="R78" s="508"/>
      <c r="S78" s="400"/>
      <c r="T78" s="400"/>
      <c r="U78" s="400"/>
    </row>
    <row r="79" spans="1:24" x14ac:dyDescent="0.3">
      <c r="E79" s="197" t="str">
        <f>IF(Dades!C669="","",Dades!C669)</f>
        <v/>
      </c>
      <c r="F79" s="396">
        <f>(DSUM('1_Combustibles fòssils'!$E$17:$N$39,"emisiones",'6.2_Resultats Espanya'!E$71:E79)/1000)-SUM(F$72:F78)</f>
        <v>0</v>
      </c>
      <c r="G79" s="396">
        <f>(DSUM('2_Fluorats'!$E$11:$P$33,"emisiones",'6.2_Resultats Espanya'!E$71:E79)/1000)-SUM(G$72:G78)</f>
        <v>0</v>
      </c>
      <c r="H79" s="507">
        <f>(DSUM('3_Emissions processos'!$E$13:$L$35,"emisiones",'6.2_Resultats Espanya'!E$71:E79)/1000)-SUM(H$72:H78)</f>
        <v>0</v>
      </c>
      <c r="I79" s="507"/>
      <c r="J79" s="508">
        <f t="shared" si="2"/>
        <v>0</v>
      </c>
      <c r="K79" s="508"/>
      <c r="L79" s="508"/>
      <c r="M79" s="508"/>
      <c r="N79" s="507">
        <f>(DSUM('4.2_Electricitat Espanya'!$E$19:$J$41,"emisiones",'6.2_Resultats Espanya'!E$71:E79)/1000)-SUM(N$72:N78)</f>
        <v>0</v>
      </c>
      <c r="O79" s="507"/>
      <c r="P79" s="508">
        <f t="shared" si="3"/>
        <v>0</v>
      </c>
      <c r="Q79" s="508"/>
      <c r="R79" s="508"/>
      <c r="S79" s="400"/>
      <c r="T79" s="400"/>
      <c r="U79" s="400"/>
    </row>
    <row r="80" spans="1:24" x14ac:dyDescent="0.3">
      <c r="E80" s="197" t="str">
        <f>IF(Dades!C670="","",Dades!C670)</f>
        <v/>
      </c>
      <c r="F80" s="396">
        <f>(DSUM('1_Combustibles fòssils'!$E$17:$N$39,"emisiones",'6.2_Resultats Espanya'!E$71:E80)/1000)-SUM(F$72:F79)</f>
        <v>0</v>
      </c>
      <c r="G80" s="396">
        <f>(DSUM('2_Fluorats'!$E$11:$P$33,"emisiones",'6.2_Resultats Espanya'!E$71:E80)/1000)-SUM(G$72:G79)</f>
        <v>0</v>
      </c>
      <c r="H80" s="507">
        <f>(DSUM('3_Emissions processos'!$E$13:$L$35,"emisiones",'6.2_Resultats Espanya'!E$71:E80)/1000)-SUM(H$72:H79)</f>
        <v>0</v>
      </c>
      <c r="I80" s="507"/>
      <c r="J80" s="508">
        <f t="shared" si="2"/>
        <v>0</v>
      </c>
      <c r="K80" s="508"/>
      <c r="L80" s="508"/>
      <c r="M80" s="508"/>
      <c r="N80" s="507">
        <f>(DSUM('4.2_Electricitat Espanya'!$E$19:$J$41,"emisiones",'6.2_Resultats Espanya'!E$71:E80)/1000)-SUM(N$72:N79)</f>
        <v>0</v>
      </c>
      <c r="O80" s="507"/>
      <c r="P80" s="508">
        <f t="shared" si="3"/>
        <v>0</v>
      </c>
      <c r="Q80" s="508"/>
      <c r="R80" s="508"/>
      <c r="S80" s="400"/>
      <c r="T80" s="400"/>
      <c r="U80" s="400"/>
    </row>
    <row r="81" spans="5:21" x14ac:dyDescent="0.3">
      <c r="E81" s="197" t="str">
        <f>IF(Dades!C671="","",Dades!C671)</f>
        <v/>
      </c>
      <c r="F81" s="396">
        <f>(DSUM('1_Combustibles fòssils'!$E$17:$N$39,"emisiones",'6.2_Resultats Espanya'!E$71:E81)/1000)-SUM(F$72:F80)</f>
        <v>0</v>
      </c>
      <c r="G81" s="396">
        <f>(DSUM('2_Fluorats'!$E$11:$P$33,"emisiones",'6.2_Resultats Espanya'!E$71:E81)/1000)-SUM(G$72:G80)</f>
        <v>0</v>
      </c>
      <c r="H81" s="507">
        <f>(DSUM('3_Emissions processos'!$E$13:$L$35,"emisiones",'6.2_Resultats Espanya'!E$71:E81)/1000)-SUM(H$72:H80)</f>
        <v>0</v>
      </c>
      <c r="I81" s="507"/>
      <c r="J81" s="508">
        <f t="shared" si="2"/>
        <v>0</v>
      </c>
      <c r="K81" s="508"/>
      <c r="L81" s="508"/>
      <c r="M81" s="508"/>
      <c r="N81" s="507">
        <f>(DSUM('4.2_Electricitat Espanya'!$E$19:$J$41,"emisiones",'6.2_Resultats Espanya'!E$71:E81)/1000)-SUM(N$72:N80)</f>
        <v>0</v>
      </c>
      <c r="O81" s="507"/>
      <c r="P81" s="508">
        <f t="shared" si="3"/>
        <v>0</v>
      </c>
      <c r="Q81" s="508"/>
      <c r="R81" s="508"/>
      <c r="S81" s="400"/>
      <c r="T81" s="400"/>
      <c r="U81" s="400"/>
    </row>
    <row r="82" spans="5:21" x14ac:dyDescent="0.3">
      <c r="E82" s="197" t="str">
        <f>IF(Dades!C672="","",Dades!C672)</f>
        <v/>
      </c>
      <c r="F82" s="396">
        <f>(DSUM('1_Combustibles fòssils'!$E$17:$N$39,"emisiones",'6.2_Resultats Espanya'!E$71:E82)/1000)-SUM(F$72:F81)</f>
        <v>0</v>
      </c>
      <c r="G82" s="396">
        <f>(DSUM('2_Fluorats'!$E$11:$P$33,"emisiones",'6.2_Resultats Espanya'!E$71:E82)/1000)-SUM(G$72:G81)</f>
        <v>0</v>
      </c>
      <c r="H82" s="507">
        <f>(DSUM('3_Emissions processos'!$E$13:$L$35,"emisiones",'6.2_Resultats Espanya'!E$71:E82)/1000)-SUM(H$72:H81)</f>
        <v>0</v>
      </c>
      <c r="I82" s="507"/>
      <c r="J82" s="508">
        <f t="shared" si="2"/>
        <v>0</v>
      </c>
      <c r="K82" s="508"/>
      <c r="L82" s="508"/>
      <c r="M82" s="508"/>
      <c r="N82" s="507">
        <f>(DSUM('4.2_Electricitat Espanya'!$E$19:$J$41,"emisiones",'6.2_Resultats Espanya'!E$71:E82)/1000)-SUM(N$72:N81)</f>
        <v>0</v>
      </c>
      <c r="O82" s="507"/>
      <c r="P82" s="508">
        <f t="shared" si="3"/>
        <v>0</v>
      </c>
      <c r="Q82" s="508"/>
      <c r="R82" s="508"/>
      <c r="S82" s="400"/>
      <c r="T82" s="400"/>
      <c r="U82" s="400"/>
    </row>
    <row r="83" spans="5:21" x14ac:dyDescent="0.3">
      <c r="E83" s="197" t="str">
        <f>IF(Dades!C673="","",Dades!C673)</f>
        <v/>
      </c>
      <c r="F83" s="396">
        <f>(DSUM('1_Combustibles fòssils'!$E$17:$N$39,"emisiones",'6.2_Resultats Espanya'!E$71:E83)/1000)-SUM(F$72:F82)</f>
        <v>0</v>
      </c>
      <c r="G83" s="396">
        <f>(DSUM('2_Fluorats'!$E$11:$P$33,"emisiones",'6.2_Resultats Espanya'!E$71:E83)/1000)-SUM(G$72:G82)</f>
        <v>0</v>
      </c>
      <c r="H83" s="507">
        <f>(DSUM('3_Emissions processos'!$E$13:$L$35,"emisiones",'6.2_Resultats Espanya'!E$71:E83)/1000)-SUM(H$72:H82)</f>
        <v>0</v>
      </c>
      <c r="I83" s="507"/>
      <c r="J83" s="508">
        <f t="shared" si="2"/>
        <v>0</v>
      </c>
      <c r="K83" s="508"/>
      <c r="L83" s="508"/>
      <c r="M83" s="508"/>
      <c r="N83" s="507">
        <f>(DSUM('4.2_Electricitat Espanya'!$E$19:$J$41,"emisiones",'6.2_Resultats Espanya'!E$71:E83)/1000)-SUM(N$72:N82)</f>
        <v>0</v>
      </c>
      <c r="O83" s="507"/>
      <c r="P83" s="508">
        <f t="shared" si="3"/>
        <v>0</v>
      </c>
      <c r="Q83" s="508"/>
      <c r="R83" s="508"/>
      <c r="S83" s="400"/>
      <c r="T83" s="400"/>
      <c r="U83" s="400"/>
    </row>
    <row r="84" spans="5:21" x14ac:dyDescent="0.3">
      <c r="E84" s="197" t="str">
        <f>IF(Dades!C674="","",Dades!C674)</f>
        <v/>
      </c>
      <c r="F84" s="396">
        <f>(DSUM('1_Combustibles fòssils'!$E$17:$N$39,"emisiones",'6.2_Resultats Espanya'!E$71:E84)/1000)-SUM(F$72:F83)</f>
        <v>0</v>
      </c>
      <c r="G84" s="396">
        <f>(DSUM('2_Fluorats'!$E$11:$P$33,"emisiones",'6.2_Resultats Espanya'!E$71:E84)/1000)-SUM(G$72:G83)</f>
        <v>0</v>
      </c>
      <c r="H84" s="507">
        <f>(DSUM('3_Emissions processos'!$E$13:$L$35,"emisiones",'6.2_Resultats Espanya'!E$71:E84)/1000)-SUM(H$72:H83)</f>
        <v>0</v>
      </c>
      <c r="I84" s="507"/>
      <c r="J84" s="508">
        <f t="shared" si="2"/>
        <v>0</v>
      </c>
      <c r="K84" s="508"/>
      <c r="L84" s="508"/>
      <c r="M84" s="508"/>
      <c r="N84" s="507">
        <f>(DSUM('4.2_Electricitat Espanya'!$E$19:$J$41,"emisiones",'6.2_Resultats Espanya'!E$71:E84)/1000)-SUM(N$72:N83)</f>
        <v>0</v>
      </c>
      <c r="O84" s="507"/>
      <c r="P84" s="508">
        <f t="shared" si="3"/>
        <v>0</v>
      </c>
      <c r="Q84" s="508"/>
      <c r="R84" s="508"/>
      <c r="S84" s="400"/>
      <c r="T84" s="400"/>
      <c r="U84" s="400"/>
    </row>
    <row r="85" spans="5:21" x14ac:dyDescent="0.3">
      <c r="E85" s="197" t="str">
        <f>IF(Dades!C675="","",Dades!C675)</f>
        <v/>
      </c>
      <c r="F85" s="396">
        <f>(DSUM('1_Combustibles fòssils'!$E$17:$N$39,"emisiones",'6.2_Resultats Espanya'!E$71:E85)/1000)-SUM(F$72:F84)</f>
        <v>0</v>
      </c>
      <c r="G85" s="396">
        <f>(DSUM('2_Fluorats'!$E$11:$P$33,"emisiones",'6.2_Resultats Espanya'!E$71:E85)/1000)-SUM(G$72:G84)</f>
        <v>0</v>
      </c>
      <c r="H85" s="507">
        <f>(DSUM('3_Emissions processos'!$E$13:$L$35,"emisiones",'6.2_Resultats Espanya'!E$71:E85)/1000)-SUM(H$72:H84)</f>
        <v>0</v>
      </c>
      <c r="I85" s="507"/>
      <c r="J85" s="508">
        <f t="shared" si="2"/>
        <v>0</v>
      </c>
      <c r="K85" s="508"/>
      <c r="L85" s="508"/>
      <c r="M85" s="508"/>
      <c r="N85" s="507">
        <f>(DSUM('4.2_Electricitat Espanya'!$E$19:$J$41,"emisiones",'6.2_Resultats Espanya'!E$71:E85)/1000)-SUM(N$72:N84)</f>
        <v>0</v>
      </c>
      <c r="O85" s="507"/>
      <c r="P85" s="508">
        <f t="shared" si="3"/>
        <v>0</v>
      </c>
      <c r="Q85" s="508"/>
      <c r="R85" s="508"/>
      <c r="S85" s="400"/>
      <c r="T85" s="400"/>
      <c r="U85" s="400"/>
    </row>
    <row r="86" spans="5:21" x14ac:dyDescent="0.3">
      <c r="E86" s="197" t="str">
        <f>IF(Dades!C676="","",Dades!C676)</f>
        <v/>
      </c>
      <c r="F86" s="396">
        <f>(DSUM('1_Combustibles fòssils'!$E$17:$N$39,"emisiones",'6.2_Resultats Espanya'!E$71:E86)/1000)-SUM(F$72:F85)</f>
        <v>0</v>
      </c>
      <c r="G86" s="396">
        <f>(DSUM('2_Fluorats'!$E$11:$P$33,"emisiones",'6.2_Resultats Espanya'!E$71:E86)/1000)-SUM(G$72:G85)</f>
        <v>0</v>
      </c>
      <c r="H86" s="507">
        <f>(DSUM('3_Emissions processos'!$E$13:$L$35,"emisiones",'6.2_Resultats Espanya'!E$71:E86)/1000)-SUM(H$72:H85)</f>
        <v>0</v>
      </c>
      <c r="I86" s="507"/>
      <c r="J86" s="508">
        <f t="shared" si="2"/>
        <v>0</v>
      </c>
      <c r="K86" s="508"/>
      <c r="L86" s="508"/>
      <c r="M86" s="508"/>
      <c r="N86" s="507">
        <f>(DSUM('4.2_Electricitat Espanya'!$E$19:$J$41,"emisiones",'6.2_Resultats Espanya'!E$71:E86)/1000)-SUM(N$72:N85)</f>
        <v>0</v>
      </c>
      <c r="O86" s="507"/>
      <c r="P86" s="508">
        <f t="shared" si="3"/>
        <v>0</v>
      </c>
      <c r="Q86" s="508"/>
      <c r="R86" s="508"/>
      <c r="S86" s="400"/>
      <c r="T86" s="400"/>
      <c r="U86" s="400"/>
    </row>
    <row r="87" spans="5:21" x14ac:dyDescent="0.3">
      <c r="E87" s="197" t="str">
        <f>IF(Dades!C677="","",Dades!C677)</f>
        <v/>
      </c>
      <c r="F87" s="396">
        <f>(DSUM('1_Combustibles fòssils'!$E$17:$N$39,"emisiones",'6.2_Resultats Espanya'!E$71:E87)/1000)-SUM(F$72:F86)</f>
        <v>0</v>
      </c>
      <c r="G87" s="396">
        <f>(DSUM('2_Fluorats'!$E$11:$P$33,"emisiones",'6.2_Resultats Espanya'!E$71:E87)/1000)-SUM(G$72:G86)</f>
        <v>0</v>
      </c>
      <c r="H87" s="507">
        <f>(DSUM('3_Emissions processos'!$E$13:$L$35,"emisiones",'6.2_Resultats Espanya'!E$71:E87)/1000)-SUM(H$72:H86)</f>
        <v>0</v>
      </c>
      <c r="I87" s="507"/>
      <c r="J87" s="508">
        <f t="shared" si="2"/>
        <v>0</v>
      </c>
      <c r="K87" s="508"/>
      <c r="L87" s="508"/>
      <c r="M87" s="508"/>
      <c r="N87" s="507">
        <f>(DSUM('4.2_Electricitat Espanya'!$E$19:$J$41,"emisiones",'6.2_Resultats Espanya'!E$71:E87)/1000)-SUM(N$72:N86)</f>
        <v>0</v>
      </c>
      <c r="O87" s="507"/>
      <c r="P87" s="508">
        <f t="shared" si="3"/>
        <v>0</v>
      </c>
      <c r="Q87" s="508"/>
      <c r="R87" s="508"/>
      <c r="S87" s="400"/>
      <c r="T87" s="400"/>
      <c r="U87" s="400"/>
    </row>
    <row r="88" spans="5:21" x14ac:dyDescent="0.3">
      <c r="E88" s="197" t="str">
        <f>IF(Dades!C678="","",Dades!C678)</f>
        <v/>
      </c>
      <c r="F88" s="396">
        <f>(DSUM('1_Combustibles fòssils'!$E$17:$N$39,"emisiones",'6.2_Resultats Espanya'!E$71:E88)/1000)-SUM(F$72:F87)</f>
        <v>0</v>
      </c>
      <c r="G88" s="396">
        <f>(DSUM('2_Fluorats'!$E$11:$P$33,"emisiones",'6.2_Resultats Espanya'!E$71:E88)/1000)-SUM(G$72:G87)</f>
        <v>0</v>
      </c>
      <c r="H88" s="507">
        <f>(DSUM('3_Emissions processos'!$E$13:$L$35,"emisiones",'6.2_Resultats Espanya'!E$71:E88)/1000)-SUM(H$72:H87)</f>
        <v>0</v>
      </c>
      <c r="I88" s="507"/>
      <c r="J88" s="508">
        <f t="shared" si="2"/>
        <v>0</v>
      </c>
      <c r="K88" s="508"/>
      <c r="L88" s="508"/>
      <c r="M88" s="508"/>
      <c r="N88" s="507">
        <f>(DSUM('4.2_Electricitat Espanya'!$E$19:$J$41,"emisiones",'6.2_Resultats Espanya'!E$71:E88)/1000)-SUM(N$72:N87)</f>
        <v>0</v>
      </c>
      <c r="O88" s="507"/>
      <c r="P88" s="508">
        <f t="shared" si="3"/>
        <v>0</v>
      </c>
      <c r="Q88" s="508"/>
      <c r="R88" s="508"/>
      <c r="S88" s="400"/>
      <c r="T88" s="400"/>
      <c r="U88" s="400"/>
    </row>
    <row r="89" spans="5:21" x14ac:dyDescent="0.3">
      <c r="E89" s="197" t="str">
        <f>IF(Dades!C679="","",Dades!C679)</f>
        <v/>
      </c>
      <c r="F89" s="396">
        <f>(DSUM('1_Combustibles fòssils'!$E$17:$N$39,"emisiones",'6.2_Resultats Espanya'!E$71:E89)/1000)-SUM(F$72:F88)</f>
        <v>0</v>
      </c>
      <c r="G89" s="396">
        <f>(DSUM('2_Fluorats'!$E$11:$P$33,"emisiones",'6.2_Resultats Espanya'!E$71:E89)/1000)-SUM(G$72:G88)</f>
        <v>0</v>
      </c>
      <c r="H89" s="507">
        <f>(DSUM('3_Emissions processos'!$E$13:$L$35,"emisiones",'6.2_Resultats Espanya'!E$71:E89)/1000)-SUM(H$72:H88)</f>
        <v>0</v>
      </c>
      <c r="I89" s="507"/>
      <c r="J89" s="508">
        <f t="shared" si="2"/>
        <v>0</v>
      </c>
      <c r="K89" s="508"/>
      <c r="L89" s="508"/>
      <c r="M89" s="508"/>
      <c r="N89" s="507">
        <f>(DSUM('4.2_Electricitat Espanya'!$E$19:$J$41,"emisiones",'6.2_Resultats Espanya'!E$71:E89)/1000)-SUM(N$72:N88)</f>
        <v>0</v>
      </c>
      <c r="O89" s="507"/>
      <c r="P89" s="508">
        <f t="shared" si="3"/>
        <v>0</v>
      </c>
      <c r="Q89" s="508"/>
      <c r="R89" s="508"/>
      <c r="S89" s="400"/>
      <c r="T89" s="400"/>
      <c r="U89" s="400"/>
    </row>
    <row r="90" spans="5:21" x14ac:dyDescent="0.3">
      <c r="E90" s="197" t="str">
        <f>IF(Dades!C680="","",Dades!C680)</f>
        <v/>
      </c>
      <c r="F90" s="396">
        <f>(DSUM('1_Combustibles fòssils'!$E$17:$N$39,"emisiones",'6.2_Resultats Espanya'!E$71:E90)/1000)-SUM(F$72:F89)</f>
        <v>0</v>
      </c>
      <c r="G90" s="396">
        <f>(DSUM('2_Fluorats'!$E$11:$P$33,"emisiones",'6.2_Resultats Espanya'!E$71:E90)/1000)-SUM(G$72:G89)</f>
        <v>0</v>
      </c>
      <c r="H90" s="507">
        <f>(DSUM('3_Emissions processos'!$E$13:$L$35,"emisiones",'6.2_Resultats Espanya'!E$71:E90)/1000)-SUM(H$72:H89)</f>
        <v>0</v>
      </c>
      <c r="I90" s="507"/>
      <c r="J90" s="508">
        <f t="shared" si="2"/>
        <v>0</v>
      </c>
      <c r="K90" s="508"/>
      <c r="L90" s="508"/>
      <c r="M90" s="508"/>
      <c r="N90" s="507">
        <f>(DSUM('4.2_Electricitat Espanya'!$E$19:$J$41,"emisiones",'6.2_Resultats Espanya'!E$71:E90)/1000)-SUM(N$72:N89)</f>
        <v>0</v>
      </c>
      <c r="O90" s="507"/>
      <c r="P90" s="508">
        <f t="shared" si="3"/>
        <v>0</v>
      </c>
      <c r="Q90" s="508"/>
      <c r="R90" s="508"/>
      <c r="S90" s="400"/>
      <c r="T90" s="400"/>
      <c r="U90" s="400"/>
    </row>
    <row r="91" spans="5:21" x14ac:dyDescent="0.3">
      <c r="E91" s="197" t="str">
        <f>IF(Dades!C681="","",Dades!C681)</f>
        <v/>
      </c>
      <c r="F91" s="396">
        <f>(DSUM('1_Combustibles fòssils'!$E$17:$N$39,"emisiones",'6.2_Resultats Espanya'!E$71:E91)/1000)-SUM(F$72:F90)</f>
        <v>0</v>
      </c>
      <c r="G91" s="396">
        <f>(DSUM('2_Fluorats'!$E$11:$P$33,"emisiones",'6.2_Resultats Espanya'!E$71:E91)/1000)-SUM(G$72:G90)</f>
        <v>0</v>
      </c>
      <c r="H91" s="507">
        <f>(DSUM('3_Emissions processos'!$E$13:$L$35,"emisiones",'6.2_Resultats Espanya'!E$71:E91)/1000)-SUM(H$72:H90)</f>
        <v>0</v>
      </c>
      <c r="I91" s="507"/>
      <c r="J91" s="508">
        <f t="shared" si="2"/>
        <v>0</v>
      </c>
      <c r="K91" s="508"/>
      <c r="L91" s="508"/>
      <c r="M91" s="508"/>
      <c r="N91" s="507">
        <f>(DSUM('4.2_Electricitat Espanya'!$E$19:$J$41,"emisiones",'6.2_Resultats Espanya'!E$71:E91)/1000)-SUM(N$72:N90)</f>
        <v>0</v>
      </c>
      <c r="O91" s="507"/>
      <c r="P91" s="508">
        <f t="shared" si="3"/>
        <v>0</v>
      </c>
      <c r="Q91" s="508"/>
      <c r="R91" s="508"/>
      <c r="S91" s="400"/>
      <c r="T91" s="400"/>
      <c r="U91" s="400"/>
    </row>
    <row r="92" spans="5:21" x14ac:dyDescent="0.3">
      <c r="E92" s="197" t="str">
        <f>IF(Dades!C682="","",Dades!C682)</f>
        <v/>
      </c>
      <c r="F92" s="396">
        <f>(DSUM('1_Combustibles fòssils'!$E$17:$N$39,"emisiones",'6.2_Resultats Espanya'!E$71:E92)/1000)-SUM(F$72:F91)</f>
        <v>0</v>
      </c>
      <c r="G92" s="396">
        <f>(DSUM('2_Fluorats'!$E$11:$P$33,"emisiones",'6.2_Resultats Espanya'!E$71:E92)/1000)-SUM(G$72:G91)</f>
        <v>0</v>
      </c>
      <c r="H92" s="507">
        <f>(DSUM('3_Emissions processos'!$E$13:$L$35,"emisiones",'6.2_Resultats Espanya'!E$71:E92)/1000)-SUM(H$72:H91)</f>
        <v>0</v>
      </c>
      <c r="I92" s="507"/>
      <c r="J92" s="508">
        <f t="shared" si="2"/>
        <v>0</v>
      </c>
      <c r="K92" s="508"/>
      <c r="L92" s="508"/>
      <c r="M92" s="508"/>
      <c r="N92" s="507">
        <f>(DSUM('4.2_Electricitat Espanya'!$E$19:$J$41,"emisiones",'6.2_Resultats Espanya'!E$71:E92)/1000)-SUM(N$72:N91)</f>
        <v>0</v>
      </c>
      <c r="O92" s="507"/>
      <c r="P92" s="508">
        <f t="shared" si="3"/>
        <v>0</v>
      </c>
      <c r="Q92" s="508"/>
      <c r="R92" s="508"/>
      <c r="S92" s="400"/>
      <c r="T92" s="400"/>
      <c r="U92" s="400"/>
    </row>
    <row r="93" spans="5:21" x14ac:dyDescent="0.3">
      <c r="E93" s="197" t="str">
        <f>IF(Dades!C683="","",Dades!C683)</f>
        <v/>
      </c>
      <c r="F93" s="396">
        <f>(DSUM('1_Combustibles fòssils'!$E$17:$N$39,"emisiones",'6.2_Resultats Espanya'!E$71:E93)/1000)-SUM(F$72:F92)</f>
        <v>0</v>
      </c>
      <c r="G93" s="396">
        <f>(DSUM('2_Fluorats'!$E$11:$P$33,"emisiones",'6.2_Resultats Espanya'!E$71:E93)/1000)-SUM(G$72:G92)</f>
        <v>0</v>
      </c>
      <c r="H93" s="507">
        <f>(DSUM('3_Emissions processos'!$E$13:$L$35,"emisiones",'6.2_Resultats Espanya'!E$71:E93)/1000)-SUM(H$72:H92)</f>
        <v>0</v>
      </c>
      <c r="I93" s="507"/>
      <c r="J93" s="508">
        <f t="shared" si="2"/>
        <v>0</v>
      </c>
      <c r="K93" s="508"/>
      <c r="L93" s="508"/>
      <c r="M93" s="508"/>
      <c r="N93" s="507">
        <f>(DSUM('4.2_Electricitat Espanya'!$E$19:$J$41,"emisiones",'6.2_Resultats Espanya'!E$71:E93)/1000)-SUM(N$72:N92)</f>
        <v>0</v>
      </c>
      <c r="O93" s="507"/>
      <c r="P93" s="508">
        <f t="shared" si="3"/>
        <v>0</v>
      </c>
      <c r="Q93" s="508"/>
      <c r="R93" s="508"/>
      <c r="S93" s="400"/>
      <c r="T93" s="400"/>
      <c r="U93" s="400"/>
    </row>
    <row r="94" spans="5:21" x14ac:dyDescent="0.3">
      <c r="E94" s="197" t="str">
        <f>IF(Dades!C684="","",Dades!C684)</f>
        <v/>
      </c>
      <c r="F94" s="396">
        <f>(DSUM('1_Combustibles fòssils'!$E$17:$N$39,"emisiones",'6.2_Resultats Espanya'!E$71:E94)/1000)-SUM(F$72:F93)</f>
        <v>0</v>
      </c>
      <c r="G94" s="396">
        <f>(DSUM('2_Fluorats'!$E$11:$P$33,"emisiones",'6.2_Resultats Espanya'!E$71:E94)/1000)-SUM(G$72:G93)</f>
        <v>0</v>
      </c>
      <c r="H94" s="507">
        <f>(DSUM('3_Emissions processos'!$E$13:$L$35,"emisiones",'6.2_Resultats Espanya'!E$71:E94)/1000)-SUM(H$72:H93)</f>
        <v>0</v>
      </c>
      <c r="I94" s="507"/>
      <c r="J94" s="508">
        <f t="shared" si="2"/>
        <v>0</v>
      </c>
      <c r="K94" s="508"/>
      <c r="L94" s="508"/>
      <c r="M94" s="508"/>
      <c r="N94" s="507">
        <f>(DSUM('4.2_Electricitat Espanya'!$E$19:$J$41,"emisiones",'6.2_Resultats Espanya'!E$71:E94)/1000)-SUM(N$72:N93)</f>
        <v>0</v>
      </c>
      <c r="O94" s="507"/>
      <c r="P94" s="508">
        <f t="shared" si="3"/>
        <v>0</v>
      </c>
      <c r="Q94" s="508"/>
      <c r="R94" s="508"/>
      <c r="S94" s="400"/>
      <c r="T94" s="400"/>
      <c r="U94" s="400"/>
    </row>
    <row r="95" spans="5:21" x14ac:dyDescent="0.3">
      <c r="E95" s="197" t="str">
        <f>IF(Dades!C685="","",Dades!C685)</f>
        <v/>
      </c>
      <c r="F95" s="396">
        <f>(DSUM('1_Combustibles fòssils'!$E$17:$N$39,"emisiones",'6.2_Resultats Espanya'!E$71:E95)/1000)-SUM(F$72:F94)</f>
        <v>0</v>
      </c>
      <c r="G95" s="396">
        <f>(DSUM('2_Fluorats'!$E$11:$P$33,"emisiones",'6.2_Resultats Espanya'!E$71:E95)/1000)-SUM(G$72:G94)</f>
        <v>0</v>
      </c>
      <c r="H95" s="507">
        <f>(DSUM('3_Emissions processos'!$E$13:$L$35,"emisiones",'6.2_Resultats Espanya'!E$71:E95)/1000)-SUM(H$72:H94)</f>
        <v>0</v>
      </c>
      <c r="I95" s="507"/>
      <c r="J95" s="508">
        <f t="shared" si="2"/>
        <v>0</v>
      </c>
      <c r="K95" s="508"/>
      <c r="L95" s="508"/>
      <c r="M95" s="508"/>
      <c r="N95" s="507">
        <f>(DSUM('4.2_Electricitat Espanya'!$E$19:$J$41,"emisiones",'6.2_Resultats Espanya'!E$71:E95)/1000)-SUM(N$72:N94)</f>
        <v>0</v>
      </c>
      <c r="O95" s="507"/>
      <c r="P95" s="508">
        <f t="shared" si="3"/>
        <v>0</v>
      </c>
      <c r="Q95" s="508"/>
      <c r="R95" s="508"/>
      <c r="S95" s="400"/>
      <c r="T95" s="400"/>
      <c r="U95" s="400"/>
    </row>
    <row r="96" spans="5:21" x14ac:dyDescent="0.3">
      <c r="E96" s="197" t="str">
        <f>IF(Dades!C686="","",Dades!C686)</f>
        <v/>
      </c>
      <c r="F96" s="396">
        <f>(DSUM('1_Combustibles fòssils'!$E$17:$N$39,"emisiones",'6.2_Resultats Espanya'!E$71:E96)/1000)-SUM(F$72:F95)</f>
        <v>0</v>
      </c>
      <c r="G96" s="396">
        <f>(DSUM('2_Fluorats'!$E$11:$P$33,"emisiones",'6.2_Resultats Espanya'!E$71:E96)/1000)-SUM(G$72:G95)</f>
        <v>0</v>
      </c>
      <c r="H96" s="507">
        <f>(DSUM('3_Emissions processos'!$E$13:$L$35,"emisiones",'6.2_Resultats Espanya'!E$71:E96)/1000)-SUM(H$72:H95)</f>
        <v>0</v>
      </c>
      <c r="I96" s="507"/>
      <c r="J96" s="508">
        <f t="shared" si="2"/>
        <v>0</v>
      </c>
      <c r="K96" s="508"/>
      <c r="L96" s="508"/>
      <c r="M96" s="508"/>
      <c r="N96" s="507">
        <f>(DSUM('4.2_Electricitat Espanya'!$E$19:$J$41,"emisiones",'6.2_Resultats Espanya'!E$71:E96)/1000)-SUM(N$72:N95)</f>
        <v>0</v>
      </c>
      <c r="O96" s="507"/>
      <c r="P96" s="508">
        <f t="shared" si="3"/>
        <v>0</v>
      </c>
      <c r="Q96" s="508"/>
      <c r="R96" s="508"/>
      <c r="S96" s="400"/>
      <c r="T96" s="400"/>
      <c r="U96" s="400"/>
    </row>
    <row r="97" spans="5:21" x14ac:dyDescent="0.3">
      <c r="E97" s="197" t="str">
        <f>IF(Dades!C687="","",Dades!C687)</f>
        <v/>
      </c>
      <c r="F97" s="396">
        <f>(DSUM('1_Combustibles fòssils'!$E$17:$N$39,"emisiones",'6.2_Resultats Espanya'!E$71:E97)/1000)-SUM(F$72:F96)</f>
        <v>0</v>
      </c>
      <c r="G97" s="396">
        <f>(DSUM('2_Fluorats'!$E$11:$P$33,"emisiones",'6.2_Resultats Espanya'!E$71:E97)/1000)-SUM(G$72:G96)</f>
        <v>0</v>
      </c>
      <c r="H97" s="507">
        <f>(DSUM('3_Emissions processos'!$E$13:$L$35,"emisiones",'6.2_Resultats Espanya'!E$71:E97)/1000)-SUM(H$72:H96)</f>
        <v>0</v>
      </c>
      <c r="I97" s="507"/>
      <c r="J97" s="508">
        <f t="shared" si="2"/>
        <v>0</v>
      </c>
      <c r="K97" s="508"/>
      <c r="L97" s="508"/>
      <c r="M97" s="508"/>
      <c r="N97" s="507">
        <f>(DSUM('4.2_Electricitat Espanya'!$E$19:$J$41,"emisiones",'6.2_Resultats Espanya'!E$71:E97)/1000)-SUM(N$72:N96)</f>
        <v>0</v>
      </c>
      <c r="O97" s="507"/>
      <c r="P97" s="508">
        <f t="shared" si="3"/>
        <v>0</v>
      </c>
      <c r="Q97" s="508"/>
      <c r="R97" s="508"/>
      <c r="S97" s="400"/>
      <c r="T97" s="400"/>
      <c r="U97" s="400"/>
    </row>
    <row r="98" spans="5:21" x14ac:dyDescent="0.3">
      <c r="E98" s="197" t="str">
        <f>IF(Dades!C688="","",Dades!C688)</f>
        <v/>
      </c>
      <c r="F98" s="396">
        <f>(DSUM('1_Combustibles fòssils'!$E$17:$N$39,"emisiones",'6.2_Resultats Espanya'!E$71:E98)/1000)-SUM(F$72:F97)</f>
        <v>0</v>
      </c>
      <c r="G98" s="396">
        <f>(DSUM('2_Fluorats'!$E$11:$P$33,"emisiones",'6.2_Resultats Espanya'!E$71:E98)/1000)-SUM(G$72:G97)</f>
        <v>0</v>
      </c>
      <c r="H98" s="507">
        <f>(DSUM('3_Emissions processos'!$E$13:$L$35,"emisiones",'6.2_Resultats Espanya'!E$71:E98)/1000)-SUM(H$72:H97)</f>
        <v>0</v>
      </c>
      <c r="I98" s="507"/>
      <c r="J98" s="508">
        <f t="shared" si="2"/>
        <v>0</v>
      </c>
      <c r="K98" s="508"/>
      <c r="L98" s="508"/>
      <c r="M98" s="508"/>
      <c r="N98" s="507">
        <f>(DSUM('4.2_Electricitat Espanya'!$E$19:$J$41,"emisiones",'6.2_Resultats Espanya'!E$71:E98)/1000)-SUM(N$72:N97)</f>
        <v>0</v>
      </c>
      <c r="O98" s="507"/>
      <c r="P98" s="508">
        <f t="shared" si="3"/>
        <v>0</v>
      </c>
      <c r="Q98" s="508"/>
      <c r="R98" s="508"/>
      <c r="S98" s="400"/>
      <c r="T98" s="400"/>
      <c r="U98" s="400"/>
    </row>
    <row r="99" spans="5:21" x14ac:dyDescent="0.3">
      <c r="E99" s="197" t="str">
        <f>IF(Dades!C689="","",Dades!C689)</f>
        <v/>
      </c>
      <c r="F99" s="396">
        <f>(DSUM('1_Combustibles fòssils'!$E$17:$N$39,"emisiones",'6.2_Resultats Espanya'!E$71:E99)/1000)-SUM(F$72:F98)</f>
        <v>0</v>
      </c>
      <c r="G99" s="396">
        <f>(DSUM('2_Fluorats'!$E$11:$P$33,"emisiones",'6.2_Resultats Espanya'!E$71:E99)/1000)-SUM(G$72:G98)</f>
        <v>0</v>
      </c>
      <c r="H99" s="507">
        <f>(DSUM('3_Emissions processos'!$E$13:$L$35,"emisiones",'6.2_Resultats Espanya'!E$71:E99)/1000)-SUM(H$72:H98)</f>
        <v>0</v>
      </c>
      <c r="I99" s="507"/>
      <c r="J99" s="508">
        <f t="shared" si="2"/>
        <v>0</v>
      </c>
      <c r="K99" s="508"/>
      <c r="L99" s="508"/>
      <c r="M99" s="508"/>
      <c r="N99" s="507">
        <f>(DSUM('4.2_Electricitat Espanya'!$E$19:$J$41,"emisiones",'6.2_Resultats Espanya'!E$71:E99)/1000)-SUM(N$72:N98)</f>
        <v>0</v>
      </c>
      <c r="O99" s="507"/>
      <c r="P99" s="508">
        <f t="shared" si="3"/>
        <v>0</v>
      </c>
      <c r="Q99" s="508"/>
      <c r="R99" s="508"/>
      <c r="S99" s="400"/>
      <c r="T99" s="400"/>
      <c r="U99" s="400"/>
    </row>
    <row r="100" spans="5:21" x14ac:dyDescent="0.3">
      <c r="E100" s="197" t="str">
        <f>IF(Dades!C690="","",Dades!C690)</f>
        <v/>
      </c>
      <c r="F100" s="396">
        <f>(DSUM('1_Combustibles fòssils'!$E$17:$N$39,"emisiones",'6.2_Resultats Espanya'!E$71:E100)/1000)-SUM(F$72:F99)</f>
        <v>0</v>
      </c>
      <c r="G100" s="396">
        <f>(DSUM('2_Fluorats'!$E$11:$P$33,"emisiones",'6.2_Resultats Espanya'!E$71:E100)/1000)-SUM(G$72:G99)</f>
        <v>0</v>
      </c>
      <c r="H100" s="507">
        <f>(DSUM('3_Emissions processos'!$E$13:$L$35,"emisiones",'6.2_Resultats Espanya'!E$71:E100)/1000)-SUM(H$72:H99)</f>
        <v>0</v>
      </c>
      <c r="I100" s="507"/>
      <c r="J100" s="508">
        <f t="shared" si="2"/>
        <v>0</v>
      </c>
      <c r="K100" s="508"/>
      <c r="L100" s="508"/>
      <c r="M100" s="508"/>
      <c r="N100" s="507">
        <f>(DSUM('4.2_Electricitat Espanya'!$E$19:$J$41,"emisiones",'6.2_Resultats Espanya'!E$71:E100)/1000)-SUM(N$72:N99)</f>
        <v>0</v>
      </c>
      <c r="O100" s="507"/>
      <c r="P100" s="508">
        <f t="shared" si="3"/>
        <v>0</v>
      </c>
      <c r="Q100" s="508"/>
      <c r="R100" s="508"/>
      <c r="S100" s="400"/>
      <c r="T100" s="400"/>
      <c r="U100" s="400"/>
    </row>
    <row r="101" spans="5:21" x14ac:dyDescent="0.3">
      <c r="E101" s="197" t="str">
        <f>IF(Dades!C691="","",Dades!C691)</f>
        <v/>
      </c>
      <c r="F101" s="396">
        <f>(DSUM('1_Combustibles fòssils'!$E$17:$N$39,"emisiones",'6.2_Resultats Espanya'!E$71:E101)/1000)-SUM(F$72:F100)</f>
        <v>0</v>
      </c>
      <c r="G101" s="396">
        <f>(DSUM('2_Fluorats'!$E$11:$P$33,"emisiones",'6.2_Resultats Espanya'!E$71:E101)/1000)-SUM(G$72:G100)</f>
        <v>0</v>
      </c>
      <c r="H101" s="507">
        <f>(DSUM('3_Emissions processos'!$E$13:$L$35,"emisiones",'6.2_Resultats Espanya'!E$71:E101)/1000)-SUM(H$72:H100)</f>
        <v>0</v>
      </c>
      <c r="I101" s="507"/>
      <c r="J101" s="508">
        <f t="shared" si="2"/>
        <v>0</v>
      </c>
      <c r="K101" s="508"/>
      <c r="L101" s="508"/>
      <c r="M101" s="508"/>
      <c r="N101" s="507">
        <f>(DSUM('4.2_Electricitat Espanya'!$E$19:$J$41,"emisiones",'6.2_Resultats Espanya'!E$71:E101)/1000)-SUM(N$72:N100)</f>
        <v>0</v>
      </c>
      <c r="O101" s="507"/>
      <c r="P101" s="508">
        <f t="shared" si="3"/>
        <v>0</v>
      </c>
      <c r="Q101" s="508"/>
      <c r="R101" s="508"/>
      <c r="S101" s="400"/>
      <c r="T101" s="400"/>
      <c r="U101" s="400"/>
    </row>
    <row r="102" spans="5:21" x14ac:dyDescent="0.3">
      <c r="E102" s="197" t="str">
        <f>IF(Dades!C692="","",Dades!C692)</f>
        <v/>
      </c>
      <c r="F102" s="396">
        <f>(DSUM('1_Combustibles fòssils'!$E$17:$N$39,"emisiones",'6.2_Resultats Espanya'!E$71:E102)/1000)-SUM(F$72:F101)</f>
        <v>0</v>
      </c>
      <c r="G102" s="396">
        <f>(DSUM('2_Fluorats'!$E$11:$P$33,"emisiones",'6.2_Resultats Espanya'!E$71:E102)/1000)-SUM(G$72:G101)</f>
        <v>0</v>
      </c>
      <c r="H102" s="507">
        <f>(DSUM('3_Emissions processos'!$E$13:$L$35,"emisiones",'6.2_Resultats Espanya'!E$71:E102)/1000)-SUM(H$72:H101)</f>
        <v>0</v>
      </c>
      <c r="I102" s="507"/>
      <c r="J102" s="508">
        <f t="shared" si="2"/>
        <v>0</v>
      </c>
      <c r="K102" s="508"/>
      <c r="L102" s="508"/>
      <c r="M102" s="508"/>
      <c r="N102" s="507">
        <f>(DSUM('4.2_Electricitat Espanya'!$E$19:$J$41,"emisiones",'6.2_Resultats Espanya'!E$71:E102)/1000)-SUM(N$72:N101)</f>
        <v>0</v>
      </c>
      <c r="O102" s="507"/>
      <c r="P102" s="508">
        <f t="shared" si="3"/>
        <v>0</v>
      </c>
      <c r="Q102" s="508"/>
      <c r="R102" s="508"/>
      <c r="S102" s="400"/>
      <c r="T102" s="400"/>
      <c r="U102" s="400"/>
    </row>
    <row r="103" spans="5:21" x14ac:dyDescent="0.3">
      <c r="E103" s="197" t="str">
        <f>IF(Dades!C693="","",Dades!C693)</f>
        <v/>
      </c>
      <c r="F103" s="396">
        <f>(DSUM('1_Combustibles fòssils'!$E$17:$N$39,"emisiones",'6.2_Resultats Espanya'!E$71:E103)/1000)-SUM(F$72:F102)</f>
        <v>0</v>
      </c>
      <c r="G103" s="396">
        <f>(DSUM('2_Fluorats'!$E$11:$P$33,"emisiones",'6.2_Resultats Espanya'!E$71:E103)/1000)-SUM(G$72:G102)</f>
        <v>0</v>
      </c>
      <c r="H103" s="507">
        <f>(DSUM('3_Emissions processos'!$E$13:$L$35,"emisiones",'6.2_Resultats Espanya'!E$71:E103)/1000)-SUM(H$72:H102)</f>
        <v>0</v>
      </c>
      <c r="I103" s="507"/>
      <c r="J103" s="508">
        <f t="shared" si="2"/>
        <v>0</v>
      </c>
      <c r="K103" s="508"/>
      <c r="L103" s="508"/>
      <c r="M103" s="508"/>
      <c r="N103" s="507">
        <f>(DSUM('4.2_Electricitat Espanya'!$E$19:$J$41,"emisiones",'6.2_Resultats Espanya'!E$71:E103)/1000)-SUM(N$72:N102)</f>
        <v>0</v>
      </c>
      <c r="O103" s="507"/>
      <c r="P103" s="508">
        <f t="shared" si="3"/>
        <v>0</v>
      </c>
      <c r="Q103" s="508"/>
      <c r="R103" s="508"/>
      <c r="S103" s="400"/>
      <c r="T103" s="400"/>
      <c r="U103" s="400"/>
    </row>
    <row r="104" spans="5:21" x14ac:dyDescent="0.3">
      <c r="E104" s="197" t="str">
        <f>IF(Dades!C694="","",Dades!C694)</f>
        <v/>
      </c>
      <c r="F104" s="396">
        <f>(DSUM('1_Combustibles fòssils'!$E$17:$N$39,"emisiones",'6.2_Resultats Espanya'!E$71:E104)/1000)-SUM(F$72:F103)</f>
        <v>0</v>
      </c>
      <c r="G104" s="396">
        <f>(DSUM('2_Fluorats'!$E$11:$P$33,"emisiones",'6.2_Resultats Espanya'!E$71:E104)/1000)-SUM(G$72:G103)</f>
        <v>0</v>
      </c>
      <c r="H104" s="507">
        <f>(DSUM('3_Emissions processos'!$E$13:$L$35,"emisiones",'6.2_Resultats Espanya'!E$71:E104)/1000)-SUM(H$72:H103)</f>
        <v>0</v>
      </c>
      <c r="I104" s="507"/>
      <c r="J104" s="508">
        <f t="shared" si="2"/>
        <v>0</v>
      </c>
      <c r="K104" s="508"/>
      <c r="L104" s="508"/>
      <c r="M104" s="508"/>
      <c r="N104" s="507">
        <f>(DSUM('4.2_Electricitat Espanya'!$E$19:$J$41,"emisiones",'6.2_Resultats Espanya'!E$71:E104)/1000)-SUM(N$72:N103)</f>
        <v>0</v>
      </c>
      <c r="O104" s="507"/>
      <c r="P104" s="508">
        <f t="shared" si="3"/>
        <v>0</v>
      </c>
      <c r="Q104" s="508"/>
      <c r="R104" s="508"/>
      <c r="S104" s="400"/>
      <c r="T104" s="400"/>
      <c r="U104" s="400"/>
    </row>
    <row r="105" spans="5:21" x14ac:dyDescent="0.3">
      <c r="E105" s="197" t="str">
        <f>IF(Dades!C695="","",Dades!C695)</f>
        <v/>
      </c>
      <c r="F105" s="396">
        <f>(DSUM('1_Combustibles fòssils'!$E$17:$N$39,"emisiones",'6.2_Resultats Espanya'!E$71:E105)/1000)-SUM(F$72:F104)</f>
        <v>0</v>
      </c>
      <c r="G105" s="396">
        <f>(DSUM('2_Fluorats'!$E$11:$P$33,"emisiones",'6.2_Resultats Espanya'!E$71:E105)/1000)-SUM(G$72:G104)</f>
        <v>0</v>
      </c>
      <c r="H105" s="507">
        <f>(DSUM('3_Emissions processos'!$E$13:$L$35,"emisiones",'6.2_Resultats Espanya'!E$71:E105)/1000)-SUM(H$72:H104)</f>
        <v>0</v>
      </c>
      <c r="I105" s="507"/>
      <c r="J105" s="508">
        <f t="shared" si="2"/>
        <v>0</v>
      </c>
      <c r="K105" s="508"/>
      <c r="L105" s="508"/>
      <c r="M105" s="508"/>
      <c r="N105" s="507">
        <f>(DSUM('4.2_Electricitat Espanya'!$E$19:$J$41,"emisiones",'6.2_Resultats Espanya'!E$71:E105)/1000)-SUM(N$72:N104)</f>
        <v>0</v>
      </c>
      <c r="O105" s="507"/>
      <c r="P105" s="508">
        <f t="shared" si="3"/>
        <v>0</v>
      </c>
      <c r="Q105" s="508"/>
      <c r="R105" s="508"/>
      <c r="S105" s="400"/>
      <c r="T105" s="400"/>
      <c r="U105" s="400"/>
    </row>
    <row r="106" spans="5:21" x14ac:dyDescent="0.3">
      <c r="E106" s="197" t="str">
        <f>IF(Dades!C696="","",Dades!C696)</f>
        <v/>
      </c>
      <c r="F106" s="396">
        <f>(DSUM('1_Combustibles fòssils'!$E$17:$N$39,"emisiones",'6.2_Resultats Espanya'!E$71:E106)/1000)-SUM(F$72:F105)</f>
        <v>0</v>
      </c>
      <c r="G106" s="396">
        <f>(DSUM('2_Fluorats'!$E$11:$P$33,"emisiones",'6.2_Resultats Espanya'!E$71:E106)/1000)-SUM(G$72:G105)</f>
        <v>0</v>
      </c>
      <c r="H106" s="507">
        <f>(DSUM('3_Emissions processos'!$E$13:$L$35,"emisiones",'6.2_Resultats Espanya'!E$71:E106)/1000)-SUM(H$72:H105)</f>
        <v>0</v>
      </c>
      <c r="I106" s="507"/>
      <c r="J106" s="508">
        <f t="shared" si="2"/>
        <v>0</v>
      </c>
      <c r="K106" s="508"/>
      <c r="L106" s="508"/>
      <c r="M106" s="508"/>
      <c r="N106" s="507">
        <f>(DSUM('4.2_Electricitat Espanya'!$E$19:$J$41,"emisiones",'6.2_Resultats Espanya'!E$71:E106)/1000)-SUM(N$72:N105)</f>
        <v>0</v>
      </c>
      <c r="O106" s="507"/>
      <c r="P106" s="508">
        <f t="shared" si="3"/>
        <v>0</v>
      </c>
      <c r="Q106" s="508"/>
      <c r="R106" s="508"/>
      <c r="S106" s="400"/>
      <c r="T106" s="400"/>
      <c r="U106" s="400"/>
    </row>
    <row r="107" spans="5:21" x14ac:dyDescent="0.3">
      <c r="E107" s="197" t="str">
        <f>IF(Dades!C697="","",Dades!C697)</f>
        <v/>
      </c>
      <c r="F107" s="396">
        <f>(DSUM('1_Combustibles fòssils'!$E$17:$N$39,"emisiones",'6.2_Resultats Espanya'!E$71:E107)/1000)-SUM(F$72:F106)</f>
        <v>0</v>
      </c>
      <c r="G107" s="396">
        <f>(DSUM('2_Fluorats'!$E$11:$P$33,"emisiones",'6.2_Resultats Espanya'!E$71:E107)/1000)-SUM(G$72:G106)</f>
        <v>0</v>
      </c>
      <c r="H107" s="507">
        <f>(DSUM('3_Emissions processos'!$E$13:$L$35,"emisiones",'6.2_Resultats Espanya'!E$71:E107)/1000)-SUM(H$72:H106)</f>
        <v>0</v>
      </c>
      <c r="I107" s="507"/>
      <c r="J107" s="508">
        <f t="shared" si="2"/>
        <v>0</v>
      </c>
      <c r="K107" s="508"/>
      <c r="L107" s="508"/>
      <c r="M107" s="508"/>
      <c r="N107" s="507">
        <f>(DSUM('4.2_Electricitat Espanya'!$E$19:$J$41,"emisiones",'6.2_Resultats Espanya'!E$71:E107)/1000)-SUM(N$72:N106)</f>
        <v>0</v>
      </c>
      <c r="O107" s="507"/>
      <c r="P107" s="508">
        <f t="shared" si="3"/>
        <v>0</v>
      </c>
      <c r="Q107" s="508"/>
      <c r="R107" s="508"/>
      <c r="S107" s="400"/>
      <c r="T107" s="400"/>
      <c r="U107" s="400"/>
    </row>
    <row r="108" spans="5:21" x14ac:dyDescent="0.3">
      <c r="E108" s="197" t="str">
        <f>IF(Dades!C698="","",Dades!C698)</f>
        <v/>
      </c>
      <c r="F108" s="396">
        <f>(DSUM('1_Combustibles fòssils'!$E$17:$N$39,"emisiones",'6.2_Resultats Espanya'!E$71:E108)/1000)-SUM(F$72:F107)</f>
        <v>0</v>
      </c>
      <c r="G108" s="396">
        <f>(DSUM('2_Fluorats'!$E$11:$P$33,"emisiones",'6.2_Resultats Espanya'!E$71:E108)/1000)-SUM(G$72:G107)</f>
        <v>0</v>
      </c>
      <c r="H108" s="507">
        <f>(DSUM('3_Emissions processos'!$E$13:$L$35,"emisiones",'6.2_Resultats Espanya'!E$71:E108)/1000)-SUM(H$72:H107)</f>
        <v>0</v>
      </c>
      <c r="I108" s="507"/>
      <c r="J108" s="508">
        <f t="shared" si="2"/>
        <v>0</v>
      </c>
      <c r="K108" s="508"/>
      <c r="L108" s="508"/>
      <c r="M108" s="508"/>
      <c r="N108" s="507">
        <f>(DSUM('4.2_Electricitat Espanya'!$E$19:$J$41,"emisiones",'6.2_Resultats Espanya'!E$71:E108)/1000)-SUM(N$72:N107)</f>
        <v>0</v>
      </c>
      <c r="O108" s="507"/>
      <c r="P108" s="508">
        <f t="shared" si="3"/>
        <v>0</v>
      </c>
      <c r="Q108" s="508"/>
      <c r="R108" s="508"/>
      <c r="S108" s="400"/>
      <c r="T108" s="400"/>
      <c r="U108" s="400"/>
    </row>
    <row r="109" spans="5:21" x14ac:dyDescent="0.3">
      <c r="E109" s="197" t="str">
        <f>IF(Dades!C699="","",Dades!C699)</f>
        <v/>
      </c>
      <c r="F109" s="396">
        <f>(DSUM('1_Combustibles fòssils'!$E$17:$N$39,"emisiones",'6.2_Resultats Espanya'!E$71:E109)/1000)-SUM(F$72:F108)</f>
        <v>0</v>
      </c>
      <c r="G109" s="396">
        <f>(DSUM('2_Fluorats'!$E$11:$P$33,"emisiones",'6.2_Resultats Espanya'!E$71:E109)/1000)-SUM(G$72:G108)</f>
        <v>0</v>
      </c>
      <c r="H109" s="507">
        <f>(DSUM('3_Emissions processos'!$E$13:$L$35,"emisiones",'6.2_Resultats Espanya'!E$71:E109)/1000)-SUM(H$72:H108)</f>
        <v>0</v>
      </c>
      <c r="I109" s="507"/>
      <c r="J109" s="508">
        <f t="shared" si="2"/>
        <v>0</v>
      </c>
      <c r="K109" s="508"/>
      <c r="L109" s="508"/>
      <c r="M109" s="508"/>
      <c r="N109" s="507">
        <f>(DSUM('4.2_Electricitat Espanya'!$E$19:$J$41,"emisiones",'6.2_Resultats Espanya'!E$71:E109)/1000)-SUM(N$72:N108)</f>
        <v>0</v>
      </c>
      <c r="O109" s="507"/>
      <c r="P109" s="508">
        <f t="shared" si="3"/>
        <v>0</v>
      </c>
      <c r="Q109" s="508"/>
      <c r="R109" s="508"/>
      <c r="S109" s="400"/>
      <c r="T109" s="400"/>
      <c r="U109" s="400"/>
    </row>
    <row r="110" spans="5:21" x14ac:dyDescent="0.3">
      <c r="E110" s="197" t="str">
        <f>IF(Dades!C700="","",Dades!C700)</f>
        <v/>
      </c>
      <c r="F110" s="396">
        <f>(DSUM('1_Combustibles fòssils'!$E$17:$N$39,"emisiones",'6.2_Resultats Espanya'!E$71:E110)/1000)-SUM(F$72:F109)</f>
        <v>0</v>
      </c>
      <c r="G110" s="396">
        <f>(DSUM('2_Fluorats'!$E$11:$P$33,"emisiones",'6.2_Resultats Espanya'!E$71:E110)/1000)-SUM(G$72:G109)</f>
        <v>0</v>
      </c>
      <c r="H110" s="507">
        <f>(DSUM('3_Emissions processos'!$E$13:$L$35,"emisiones",'6.2_Resultats Espanya'!E$71:E110)/1000)-SUM(H$72:H109)</f>
        <v>0</v>
      </c>
      <c r="I110" s="507"/>
      <c r="J110" s="508">
        <f t="shared" si="2"/>
        <v>0</v>
      </c>
      <c r="K110" s="508"/>
      <c r="L110" s="508"/>
      <c r="M110" s="508"/>
      <c r="N110" s="507">
        <f>(DSUM('4.2_Electricitat Espanya'!$E$19:$J$41,"emisiones",'6.2_Resultats Espanya'!E$71:E110)/1000)-SUM(N$72:N109)</f>
        <v>0</v>
      </c>
      <c r="O110" s="507"/>
      <c r="P110" s="508">
        <f t="shared" si="3"/>
        <v>0</v>
      </c>
      <c r="Q110" s="508"/>
      <c r="R110" s="508"/>
      <c r="S110" s="400"/>
      <c r="T110" s="400"/>
      <c r="U110" s="400"/>
    </row>
    <row r="111" spans="5:21" x14ac:dyDescent="0.3">
      <c r="E111" s="197" t="str">
        <f>IF(Dades!C701="","",Dades!C701)</f>
        <v/>
      </c>
      <c r="F111" s="396">
        <f>(DSUM('1_Combustibles fòssils'!$E$17:$N$39,"emisiones",'6.2_Resultats Espanya'!E$71:E111)/1000)-SUM(F$72:F110)</f>
        <v>0</v>
      </c>
      <c r="G111" s="396">
        <f>(DSUM('2_Fluorats'!$E$11:$P$33,"emisiones",'6.2_Resultats Espanya'!E$71:E111)/1000)-SUM(G$72:G110)</f>
        <v>0</v>
      </c>
      <c r="H111" s="507">
        <f>(DSUM('3_Emissions processos'!$E$13:$L$35,"emisiones",'6.2_Resultats Espanya'!E$71:E111)/1000)-SUM(H$72:H110)</f>
        <v>0</v>
      </c>
      <c r="I111" s="507"/>
      <c r="J111" s="508">
        <f t="shared" si="2"/>
        <v>0</v>
      </c>
      <c r="K111" s="508"/>
      <c r="L111" s="508"/>
      <c r="M111" s="508"/>
      <c r="N111" s="507">
        <f>(DSUM('4.2_Electricitat Espanya'!$E$19:$J$41,"emisiones",'6.2_Resultats Espanya'!E$71:E111)/1000)-SUM(N$72:N110)</f>
        <v>0</v>
      </c>
      <c r="O111" s="507"/>
      <c r="P111" s="508">
        <f t="shared" si="3"/>
        <v>0</v>
      </c>
      <c r="Q111" s="508"/>
      <c r="R111" s="508"/>
      <c r="S111" s="400"/>
      <c r="T111" s="400"/>
      <c r="U111" s="400"/>
    </row>
    <row r="112" spans="5:21" x14ac:dyDescent="0.3">
      <c r="E112" s="197" t="str">
        <f>IF(Dades!C702="","",Dades!C702)</f>
        <v/>
      </c>
      <c r="F112" s="396">
        <f>(DSUM('1_Combustibles fòssils'!$E$17:$N$39,"emisiones",'6.2_Resultats Espanya'!E$71:E112)/1000)-SUM(F$72:F111)</f>
        <v>0</v>
      </c>
      <c r="G112" s="396">
        <f>(DSUM('2_Fluorats'!$E$11:$P$33,"emisiones",'6.2_Resultats Espanya'!E$71:E112)/1000)-SUM(G$72:G111)</f>
        <v>0</v>
      </c>
      <c r="H112" s="507">
        <f>(DSUM('3_Emissions processos'!$E$13:$L$35,"emisiones",'6.2_Resultats Espanya'!E$71:E112)/1000)-SUM(H$72:H111)</f>
        <v>0</v>
      </c>
      <c r="I112" s="507"/>
      <c r="J112" s="508">
        <f t="shared" si="2"/>
        <v>0</v>
      </c>
      <c r="K112" s="508"/>
      <c r="L112" s="508"/>
      <c r="M112" s="508"/>
      <c r="N112" s="507">
        <f>(DSUM('4.2_Electricitat Espanya'!$E$19:$J$41,"emisiones",'6.2_Resultats Espanya'!E$71:E112)/1000)-SUM(N$72:N111)</f>
        <v>0</v>
      </c>
      <c r="O112" s="507"/>
      <c r="P112" s="508">
        <f t="shared" si="3"/>
        <v>0</v>
      </c>
      <c r="Q112" s="508"/>
      <c r="R112" s="508"/>
      <c r="S112" s="400"/>
      <c r="T112" s="400"/>
      <c r="U112" s="400"/>
    </row>
    <row r="113" spans="5:21" x14ac:dyDescent="0.3">
      <c r="E113" s="197" t="str">
        <f>IF(Dades!C703="","",Dades!C703)</f>
        <v/>
      </c>
      <c r="F113" s="396">
        <f>(DSUM('1_Combustibles fòssils'!$E$17:$N$39,"emisiones",'6.2_Resultats Espanya'!E$71:E113)/1000)-SUM(F$72:F112)</f>
        <v>0</v>
      </c>
      <c r="G113" s="396">
        <f>(DSUM('2_Fluorats'!$E$11:$P$33,"emisiones",'6.2_Resultats Espanya'!E$71:E113)/1000)-SUM(G$72:G112)</f>
        <v>0</v>
      </c>
      <c r="H113" s="507">
        <f>(DSUM('3_Emissions processos'!$E$13:$L$35,"emisiones",'6.2_Resultats Espanya'!E$71:E113)/1000)-SUM(H$72:H112)</f>
        <v>0</v>
      </c>
      <c r="I113" s="507"/>
      <c r="J113" s="508">
        <f t="shared" si="2"/>
        <v>0</v>
      </c>
      <c r="K113" s="508"/>
      <c r="L113" s="508"/>
      <c r="M113" s="508"/>
      <c r="N113" s="507">
        <f>(DSUM('4.2_Electricitat Espanya'!$E$19:$J$41,"emisiones",'6.2_Resultats Espanya'!E$71:E113)/1000)-SUM(N$72:N112)</f>
        <v>0</v>
      </c>
      <c r="O113" s="507"/>
      <c r="P113" s="508">
        <f t="shared" si="3"/>
        <v>0</v>
      </c>
      <c r="Q113" s="508"/>
      <c r="R113" s="508"/>
      <c r="S113" s="400"/>
      <c r="T113" s="400"/>
      <c r="U113" s="400"/>
    </row>
    <row r="114" spans="5:21" x14ac:dyDescent="0.3">
      <c r="E114" s="197" t="str">
        <f>IF(Dades!C704="","",Dades!C704)</f>
        <v/>
      </c>
      <c r="F114" s="396">
        <f>(DSUM('1_Combustibles fòssils'!$E$17:$N$39,"emisiones",'6.2_Resultats Espanya'!E$71:E114)/1000)-SUM(F$72:F113)</f>
        <v>0</v>
      </c>
      <c r="G114" s="396">
        <f>(DSUM('2_Fluorats'!$E$11:$P$33,"emisiones",'6.2_Resultats Espanya'!E$71:E114)/1000)-SUM(G$72:G113)</f>
        <v>0</v>
      </c>
      <c r="H114" s="507">
        <f>(DSUM('3_Emissions processos'!$E$13:$L$35,"emisiones",'6.2_Resultats Espanya'!E$71:E114)/1000)-SUM(H$72:H113)</f>
        <v>0</v>
      </c>
      <c r="I114" s="507"/>
      <c r="J114" s="508">
        <f t="shared" si="2"/>
        <v>0</v>
      </c>
      <c r="K114" s="508"/>
      <c r="L114" s="508"/>
      <c r="M114" s="508"/>
      <c r="N114" s="507">
        <f>(DSUM('4.2_Electricitat Espanya'!$E$19:$J$41,"emisiones",'6.2_Resultats Espanya'!E$71:E114)/1000)-SUM(N$72:N113)</f>
        <v>0</v>
      </c>
      <c r="O114" s="507"/>
      <c r="P114" s="508">
        <f t="shared" si="3"/>
        <v>0</v>
      </c>
      <c r="Q114" s="508"/>
      <c r="R114" s="508"/>
      <c r="S114" s="400"/>
      <c r="T114" s="400"/>
      <c r="U114" s="400"/>
    </row>
    <row r="115" spans="5:21" x14ac:dyDescent="0.3">
      <c r="E115" s="197" t="str">
        <f>IF(Dades!C705="","",Dades!C705)</f>
        <v/>
      </c>
      <c r="F115" s="396">
        <f>(DSUM('1_Combustibles fòssils'!$E$17:$N$39,"emisiones",'6.2_Resultats Espanya'!E$71:E115)/1000)-SUM(F$72:F114)</f>
        <v>0</v>
      </c>
      <c r="G115" s="396">
        <f>(DSUM('2_Fluorats'!$E$11:$P$33,"emisiones",'6.2_Resultats Espanya'!E$71:E115)/1000)-SUM(G$72:G114)</f>
        <v>0</v>
      </c>
      <c r="H115" s="507">
        <f>(DSUM('3_Emissions processos'!$E$13:$L$35,"emisiones",'6.2_Resultats Espanya'!E$71:E115)/1000)-SUM(H$72:H114)</f>
        <v>0</v>
      </c>
      <c r="I115" s="507"/>
      <c r="J115" s="508">
        <f t="shared" si="2"/>
        <v>0</v>
      </c>
      <c r="K115" s="508"/>
      <c r="L115" s="508"/>
      <c r="M115" s="508"/>
      <c r="N115" s="507">
        <f>(DSUM('4.2_Electricitat Espanya'!$E$19:$J$41,"emisiones",'6.2_Resultats Espanya'!E$71:E115)/1000)-SUM(N$72:N114)</f>
        <v>0</v>
      </c>
      <c r="O115" s="507"/>
      <c r="P115" s="508">
        <f t="shared" si="3"/>
        <v>0</v>
      </c>
      <c r="Q115" s="508"/>
      <c r="R115" s="508"/>
      <c r="S115" s="400"/>
      <c r="T115" s="400"/>
      <c r="U115" s="400"/>
    </row>
    <row r="116" spans="5:21" x14ac:dyDescent="0.3">
      <c r="E116" s="197" t="str">
        <f>IF(Dades!C706="","",Dades!C706)</f>
        <v/>
      </c>
      <c r="F116" s="396">
        <f>(DSUM('1_Combustibles fòssils'!$E$17:$N$39,"emisiones",'6.2_Resultats Espanya'!E$71:E116)/1000)-SUM(F$72:F115)</f>
        <v>0</v>
      </c>
      <c r="G116" s="396">
        <f>(DSUM('2_Fluorats'!$E$11:$P$33,"emisiones",'6.2_Resultats Espanya'!E$71:E116)/1000)-SUM(G$72:G115)</f>
        <v>0</v>
      </c>
      <c r="H116" s="507">
        <f>(DSUM('3_Emissions processos'!$E$13:$L$35,"emisiones",'6.2_Resultats Espanya'!E$71:E116)/1000)-SUM(H$72:H115)</f>
        <v>0</v>
      </c>
      <c r="I116" s="507"/>
      <c r="J116" s="508">
        <f t="shared" si="2"/>
        <v>0</v>
      </c>
      <c r="K116" s="508"/>
      <c r="L116" s="508"/>
      <c r="M116" s="508"/>
      <c r="N116" s="507">
        <f>(DSUM('4.2_Electricitat Espanya'!$E$19:$J$41,"emisiones",'6.2_Resultats Espanya'!E$71:E116)/1000)-SUM(N$72:N115)</f>
        <v>0</v>
      </c>
      <c r="O116" s="507"/>
      <c r="P116" s="508">
        <f t="shared" si="3"/>
        <v>0</v>
      </c>
      <c r="Q116" s="508"/>
      <c r="R116" s="508"/>
      <c r="S116" s="400"/>
      <c r="T116" s="400"/>
      <c r="U116" s="400"/>
    </row>
    <row r="117" spans="5:21" x14ac:dyDescent="0.3">
      <c r="E117" s="197" t="str">
        <f>IF(Dades!C707="","",Dades!C707)</f>
        <v/>
      </c>
      <c r="F117" s="396">
        <f>(DSUM('1_Combustibles fòssils'!$E$17:$N$39,"emisiones",'6.2_Resultats Espanya'!E$71:E117)/1000)-SUM(F$72:F116)</f>
        <v>0</v>
      </c>
      <c r="G117" s="396">
        <f>(DSUM('2_Fluorats'!$E$11:$P$33,"emisiones",'6.2_Resultats Espanya'!E$71:E117)/1000)-SUM(G$72:G116)</f>
        <v>0</v>
      </c>
      <c r="H117" s="507">
        <f>(DSUM('3_Emissions processos'!$E$13:$L$35,"emisiones",'6.2_Resultats Espanya'!E$71:E117)/1000)-SUM(H$72:H116)</f>
        <v>0</v>
      </c>
      <c r="I117" s="507"/>
      <c r="J117" s="508">
        <f t="shared" si="2"/>
        <v>0</v>
      </c>
      <c r="K117" s="508"/>
      <c r="L117" s="508"/>
      <c r="M117" s="508"/>
      <c r="N117" s="507">
        <f>(DSUM('4.2_Electricitat Espanya'!$E$19:$J$41,"emisiones",'6.2_Resultats Espanya'!E$71:E117)/1000)-SUM(N$72:N116)</f>
        <v>0</v>
      </c>
      <c r="O117" s="507"/>
      <c r="P117" s="508">
        <f t="shared" si="3"/>
        <v>0</v>
      </c>
      <c r="Q117" s="508"/>
      <c r="R117" s="508"/>
      <c r="S117" s="400"/>
      <c r="T117" s="400"/>
      <c r="U117" s="400"/>
    </row>
    <row r="118" spans="5:21" x14ac:dyDescent="0.3">
      <c r="E118" s="197" t="str">
        <f>IF(Dades!C708="","",Dades!C708)</f>
        <v/>
      </c>
      <c r="F118" s="396">
        <f>(DSUM('1_Combustibles fòssils'!$E$17:$N$39,"emisiones",'6.2_Resultats Espanya'!E$71:E118)/1000)-SUM(F$72:F117)</f>
        <v>0</v>
      </c>
      <c r="G118" s="396">
        <f>(DSUM('2_Fluorats'!$E$11:$P$33,"emisiones",'6.2_Resultats Espanya'!E$71:E118)/1000)-SUM(G$72:G117)</f>
        <v>0</v>
      </c>
      <c r="H118" s="507">
        <f>(DSUM('3_Emissions processos'!$E$13:$L$35,"emisiones",'6.2_Resultats Espanya'!E$71:E118)/1000)-SUM(H$72:H117)</f>
        <v>0</v>
      </c>
      <c r="I118" s="507"/>
      <c r="J118" s="508">
        <f t="shared" si="2"/>
        <v>0</v>
      </c>
      <c r="K118" s="508"/>
      <c r="L118" s="508"/>
      <c r="M118" s="508"/>
      <c r="N118" s="507">
        <f>(DSUM('4.2_Electricitat Espanya'!$E$19:$J$41,"emisiones",'6.2_Resultats Espanya'!E$71:E118)/1000)-SUM(N$72:N117)</f>
        <v>0</v>
      </c>
      <c r="O118" s="507"/>
      <c r="P118" s="508">
        <f t="shared" si="3"/>
        <v>0</v>
      </c>
      <c r="Q118" s="508"/>
      <c r="R118" s="508"/>
      <c r="S118" s="400"/>
      <c r="T118" s="400"/>
      <c r="U118" s="400"/>
    </row>
    <row r="119" spans="5:21" x14ac:dyDescent="0.3">
      <c r="E119" s="197" t="str">
        <f>IF(Dades!C709="","",Dades!C709)</f>
        <v/>
      </c>
      <c r="F119" s="396">
        <f>(DSUM('1_Combustibles fòssils'!$E$17:$N$39,"emisiones",'6.2_Resultats Espanya'!E$71:E119)/1000)-SUM(F$72:F118)</f>
        <v>0</v>
      </c>
      <c r="G119" s="396">
        <f>(DSUM('2_Fluorats'!$E$11:$P$33,"emisiones",'6.2_Resultats Espanya'!E$71:E119)/1000)-SUM(G$72:G118)</f>
        <v>0</v>
      </c>
      <c r="H119" s="507">
        <f>(DSUM('3_Emissions processos'!$E$13:$L$35,"emisiones",'6.2_Resultats Espanya'!E$71:E119)/1000)-SUM(H$72:H118)</f>
        <v>0</v>
      </c>
      <c r="I119" s="507"/>
      <c r="J119" s="508">
        <f t="shared" si="2"/>
        <v>0</v>
      </c>
      <c r="K119" s="508"/>
      <c r="L119" s="508"/>
      <c r="M119" s="508"/>
      <c r="N119" s="507">
        <f>(DSUM('4.2_Electricitat Espanya'!$E$19:$J$41,"emisiones",'6.2_Resultats Espanya'!E$71:E119)/1000)-SUM(N$72:N118)</f>
        <v>0</v>
      </c>
      <c r="O119" s="507"/>
      <c r="P119" s="508">
        <f t="shared" si="3"/>
        <v>0</v>
      </c>
      <c r="Q119" s="508"/>
      <c r="R119" s="508"/>
      <c r="S119" s="400"/>
      <c r="T119" s="400"/>
      <c r="U119" s="400"/>
    </row>
    <row r="120" spans="5:21" x14ac:dyDescent="0.3">
      <c r="E120" s="197" t="str">
        <f>IF(Dades!C710="","",Dades!C710)</f>
        <v/>
      </c>
      <c r="F120" s="396">
        <f>(DSUM('1_Combustibles fòssils'!$E$17:$N$39,"emisiones",'6.2_Resultats Espanya'!E$71:E120)/1000)-SUM(F$72:F119)</f>
        <v>0</v>
      </c>
      <c r="G120" s="396">
        <f>(DSUM('2_Fluorats'!$E$11:$P$33,"emisiones",'6.2_Resultats Espanya'!E$71:E120)/1000)-SUM(G$72:G119)</f>
        <v>0</v>
      </c>
      <c r="H120" s="507">
        <f>(DSUM('3_Emissions processos'!$E$13:$L$35,"emisiones",'6.2_Resultats Espanya'!E$71:E120)/1000)-SUM(H$72:H119)</f>
        <v>0</v>
      </c>
      <c r="I120" s="507"/>
      <c r="J120" s="508">
        <f t="shared" si="2"/>
        <v>0</v>
      </c>
      <c r="K120" s="508"/>
      <c r="L120" s="508"/>
      <c r="M120" s="508"/>
      <c r="N120" s="507">
        <f>(DSUM('4.2_Electricitat Espanya'!$E$19:$J$41,"emisiones",'6.2_Resultats Espanya'!E$71:E120)/1000)-SUM(N$72:N119)</f>
        <v>0</v>
      </c>
      <c r="O120" s="507"/>
      <c r="P120" s="508">
        <f t="shared" si="3"/>
        <v>0</v>
      </c>
      <c r="Q120" s="508"/>
      <c r="R120" s="508"/>
      <c r="S120" s="400"/>
      <c r="T120" s="400"/>
      <c r="U120" s="400"/>
    </row>
    <row r="121" spans="5:21" x14ac:dyDescent="0.3">
      <c r="E121" s="197" t="str">
        <f>IF(Dades!C711="","",Dades!C711)</f>
        <v/>
      </c>
      <c r="F121" s="396">
        <f>(DSUM('1_Combustibles fòssils'!$E$17:$N$39,"emisiones",'6.2_Resultats Espanya'!E$71:E121)/1000)-SUM(F$72:F120)</f>
        <v>0</v>
      </c>
      <c r="G121" s="396">
        <f>(DSUM('2_Fluorats'!$E$11:$P$33,"emisiones",'6.2_Resultats Espanya'!E$71:E121)/1000)-SUM(G$72:G120)</f>
        <v>0</v>
      </c>
      <c r="H121" s="507">
        <f>(DSUM('3_Emissions processos'!$E$13:$L$35,"emisiones",'6.2_Resultats Espanya'!E$71:E121)/1000)-SUM(H$72:H120)</f>
        <v>0</v>
      </c>
      <c r="I121" s="507"/>
      <c r="J121" s="508">
        <f t="shared" si="2"/>
        <v>0</v>
      </c>
      <c r="K121" s="508"/>
      <c r="L121" s="508"/>
      <c r="M121" s="508"/>
      <c r="N121" s="507">
        <f>(DSUM('4.2_Electricitat Espanya'!$E$19:$J$41,"emisiones",'6.2_Resultats Espanya'!E$71:E121)/1000)-SUM(N$72:N120)</f>
        <v>0</v>
      </c>
      <c r="O121" s="507"/>
      <c r="P121" s="508">
        <f t="shared" si="3"/>
        <v>0</v>
      </c>
      <c r="Q121" s="508"/>
      <c r="R121" s="508"/>
      <c r="S121" s="400"/>
      <c r="T121" s="400"/>
      <c r="U121" s="400"/>
    </row>
    <row r="122" spans="5:21" x14ac:dyDescent="0.3">
      <c r="E122" s="197" t="str">
        <f>IF(Dades!C712="","",Dades!C712)</f>
        <v/>
      </c>
      <c r="F122" s="396">
        <f>(DSUM('1_Combustibles fòssils'!$E$17:$N$39,"emisiones",'6.2_Resultats Espanya'!E$71:E122)/1000)-SUM(F$72:F121)</f>
        <v>0</v>
      </c>
      <c r="G122" s="396">
        <f>(DSUM('2_Fluorats'!$E$11:$P$33,"emisiones",'6.2_Resultats Espanya'!E$71:E122)/1000)-SUM(G$72:G121)</f>
        <v>0</v>
      </c>
      <c r="H122" s="507">
        <f>(DSUM('3_Emissions processos'!$E$13:$L$35,"emisiones",'6.2_Resultats Espanya'!E$71:E122)/1000)-SUM(H$72:H121)</f>
        <v>0</v>
      </c>
      <c r="I122" s="507"/>
      <c r="J122" s="508">
        <f t="shared" si="2"/>
        <v>0</v>
      </c>
      <c r="K122" s="508"/>
      <c r="L122" s="508"/>
      <c r="M122" s="508"/>
      <c r="N122" s="507">
        <f>(DSUM('4.2_Electricitat Espanya'!$E$19:$J$41,"emisiones",'6.2_Resultats Espanya'!E$71:E122)/1000)-SUM(N$72:N121)</f>
        <v>0</v>
      </c>
      <c r="O122" s="507"/>
      <c r="P122" s="508">
        <f t="shared" si="3"/>
        <v>0</v>
      </c>
      <c r="Q122" s="508"/>
      <c r="R122" s="508"/>
      <c r="S122" s="400"/>
      <c r="T122" s="400"/>
      <c r="U122" s="400"/>
    </row>
    <row r="123" spans="5:21" x14ac:dyDescent="0.3">
      <c r="E123" s="197" t="str">
        <f>IF(Dades!C713="","",Dades!C713)</f>
        <v/>
      </c>
      <c r="F123" s="396">
        <f>(DSUM('1_Combustibles fòssils'!$E$17:$N$39,"emisiones",'6.2_Resultats Espanya'!E$71:E123)/1000)-SUM(F$72:F122)</f>
        <v>0</v>
      </c>
      <c r="G123" s="396">
        <f>(DSUM('2_Fluorats'!$E$11:$P$33,"emisiones",'6.2_Resultats Espanya'!E$71:E123)/1000)-SUM(G$72:G122)</f>
        <v>0</v>
      </c>
      <c r="H123" s="507">
        <f>(DSUM('3_Emissions processos'!$E$13:$L$35,"emisiones",'6.2_Resultats Espanya'!E$71:E123)/1000)-SUM(H$72:H122)</f>
        <v>0</v>
      </c>
      <c r="I123" s="507"/>
      <c r="J123" s="508">
        <f t="shared" si="2"/>
        <v>0</v>
      </c>
      <c r="K123" s="508"/>
      <c r="L123" s="508"/>
      <c r="M123" s="508"/>
      <c r="N123" s="507">
        <f>(DSUM('4.2_Electricitat Espanya'!$E$19:$J$41,"emisiones",'6.2_Resultats Espanya'!E$71:E123)/1000)-SUM(N$72:N122)</f>
        <v>0</v>
      </c>
      <c r="O123" s="507"/>
      <c r="P123" s="508">
        <f t="shared" si="3"/>
        <v>0</v>
      </c>
      <c r="Q123" s="508"/>
      <c r="R123" s="508"/>
      <c r="S123" s="400"/>
      <c r="T123" s="400"/>
      <c r="U123" s="400"/>
    </row>
    <row r="124" spans="5:21" x14ac:dyDescent="0.3">
      <c r="E124" s="197" t="str">
        <f>IF(Dades!C714="","",Dades!C714)</f>
        <v/>
      </c>
      <c r="F124" s="396">
        <f>(DSUM('1_Combustibles fòssils'!$E$17:$N$39,"emisiones",'6.2_Resultats Espanya'!E$71:E124)/1000)-SUM(F$72:F123)</f>
        <v>0</v>
      </c>
      <c r="G124" s="396">
        <f>(DSUM('2_Fluorats'!$E$11:$P$33,"emisiones",'6.2_Resultats Espanya'!E$71:E124)/1000)-SUM(G$72:G123)</f>
        <v>0</v>
      </c>
      <c r="H124" s="507">
        <f>(DSUM('3_Emissions processos'!$E$13:$L$35,"emisiones",'6.2_Resultats Espanya'!E$71:E124)/1000)-SUM(H$72:H123)</f>
        <v>0</v>
      </c>
      <c r="I124" s="507"/>
      <c r="J124" s="508">
        <f t="shared" si="2"/>
        <v>0</v>
      </c>
      <c r="K124" s="508"/>
      <c r="L124" s="508"/>
      <c r="M124" s="508"/>
      <c r="N124" s="507">
        <f>(DSUM('4.2_Electricitat Espanya'!$E$19:$J$41,"emisiones",'6.2_Resultats Espanya'!E$71:E124)/1000)-SUM(N$72:N123)</f>
        <v>0</v>
      </c>
      <c r="O124" s="507"/>
      <c r="P124" s="508">
        <f t="shared" si="3"/>
        <v>0</v>
      </c>
      <c r="Q124" s="508"/>
      <c r="R124" s="508"/>
      <c r="S124" s="400"/>
      <c r="T124" s="400"/>
      <c r="U124" s="400"/>
    </row>
    <row r="125" spans="5:21" x14ac:dyDescent="0.3">
      <c r="E125" s="197" t="str">
        <f>IF(Dades!C715="","",Dades!C715)</f>
        <v/>
      </c>
      <c r="F125" s="396">
        <f>(DSUM('1_Combustibles fòssils'!$E$17:$N$39,"emisiones",'6.2_Resultats Espanya'!E$71:E125)/1000)-SUM(F$72:F124)</f>
        <v>0</v>
      </c>
      <c r="G125" s="396">
        <f>(DSUM('2_Fluorats'!$E$11:$P$33,"emisiones",'6.2_Resultats Espanya'!E$71:E125)/1000)-SUM(G$72:G124)</f>
        <v>0</v>
      </c>
      <c r="H125" s="507">
        <f>(DSUM('3_Emissions processos'!$E$13:$L$35,"emisiones",'6.2_Resultats Espanya'!E$71:E125)/1000)-SUM(H$72:H124)</f>
        <v>0</v>
      </c>
      <c r="I125" s="507"/>
      <c r="J125" s="508">
        <f t="shared" si="2"/>
        <v>0</v>
      </c>
      <c r="K125" s="508"/>
      <c r="L125" s="508"/>
      <c r="M125" s="508"/>
      <c r="N125" s="507">
        <f>(DSUM('4.2_Electricitat Espanya'!$E$19:$J$41,"emisiones",'6.2_Resultats Espanya'!E$71:E125)/1000)-SUM(N$72:N124)</f>
        <v>0</v>
      </c>
      <c r="O125" s="507"/>
      <c r="P125" s="508">
        <f t="shared" si="3"/>
        <v>0</v>
      </c>
      <c r="Q125" s="508"/>
      <c r="R125" s="508"/>
      <c r="S125" s="400"/>
      <c r="T125" s="400"/>
      <c r="U125" s="400"/>
    </row>
    <row r="126" spans="5:21" x14ac:dyDescent="0.3">
      <c r="E126" s="197" t="str">
        <f>IF(Dades!C716="","",Dades!C716)</f>
        <v/>
      </c>
      <c r="F126" s="396">
        <f>(DSUM('1_Combustibles fòssils'!$E$17:$N$39,"emisiones",'6.2_Resultats Espanya'!E$71:E126)/1000)-SUM(F$72:F125)</f>
        <v>0</v>
      </c>
      <c r="G126" s="396">
        <f>(DSUM('2_Fluorats'!$E$11:$P$33,"emisiones",'6.2_Resultats Espanya'!E$71:E126)/1000)-SUM(G$72:G125)</f>
        <v>0</v>
      </c>
      <c r="H126" s="507">
        <f>(DSUM('3_Emissions processos'!$E$13:$L$35,"emisiones",'6.2_Resultats Espanya'!E$71:E126)/1000)-SUM(H$72:H125)</f>
        <v>0</v>
      </c>
      <c r="I126" s="507"/>
      <c r="J126" s="508">
        <f t="shared" si="2"/>
        <v>0</v>
      </c>
      <c r="K126" s="508"/>
      <c r="L126" s="508"/>
      <c r="M126" s="508"/>
      <c r="N126" s="507">
        <f>(DSUM('4.2_Electricitat Espanya'!$E$19:$J$41,"emisiones",'6.2_Resultats Espanya'!E$71:E126)/1000)-SUM(N$72:N125)</f>
        <v>0</v>
      </c>
      <c r="O126" s="507"/>
      <c r="P126" s="508">
        <f t="shared" si="3"/>
        <v>0</v>
      </c>
      <c r="Q126" s="508"/>
      <c r="R126" s="508"/>
      <c r="S126" s="400"/>
      <c r="T126" s="400"/>
      <c r="U126" s="400"/>
    </row>
    <row r="127" spans="5:21" x14ac:dyDescent="0.3">
      <c r="E127" s="197" t="str">
        <f>IF(Dades!C717="","",Dades!C717)</f>
        <v/>
      </c>
      <c r="F127" s="396">
        <f>(DSUM('1_Combustibles fòssils'!$E$17:$N$39,"emisiones",'6.2_Resultats Espanya'!E$71:E127)/1000)-SUM(F$72:F126)</f>
        <v>0</v>
      </c>
      <c r="G127" s="396">
        <f>(DSUM('2_Fluorats'!$E$11:$P$33,"emisiones",'6.2_Resultats Espanya'!E$71:E127)/1000)-SUM(G$72:G126)</f>
        <v>0</v>
      </c>
      <c r="H127" s="507">
        <f>(DSUM('3_Emissions processos'!$E$13:$L$35,"emisiones",'6.2_Resultats Espanya'!E$71:E127)/1000)-SUM(H$72:H126)</f>
        <v>0</v>
      </c>
      <c r="I127" s="507"/>
      <c r="J127" s="508">
        <f t="shared" si="2"/>
        <v>0</v>
      </c>
      <c r="K127" s="508"/>
      <c r="L127" s="508"/>
      <c r="M127" s="508"/>
      <c r="N127" s="507">
        <f>(DSUM('4.2_Electricitat Espanya'!$E$19:$J$41,"emisiones",'6.2_Resultats Espanya'!E$71:E127)/1000)-SUM(N$72:N126)</f>
        <v>0</v>
      </c>
      <c r="O127" s="507"/>
      <c r="P127" s="508">
        <f t="shared" si="3"/>
        <v>0</v>
      </c>
      <c r="Q127" s="508"/>
      <c r="R127" s="508"/>
      <c r="S127" s="400"/>
      <c r="T127" s="400"/>
      <c r="U127" s="400"/>
    </row>
    <row r="128" spans="5:21" x14ac:dyDescent="0.3">
      <c r="E128" s="197" t="str">
        <f>IF(Dades!C718="","",Dades!C718)</f>
        <v/>
      </c>
      <c r="F128" s="396">
        <f>(DSUM('1_Combustibles fòssils'!$E$17:$N$39,"emisiones",'6.2_Resultats Espanya'!E$71:E128)/1000)-SUM(F$72:F127)</f>
        <v>0</v>
      </c>
      <c r="G128" s="396">
        <f>(DSUM('2_Fluorats'!$E$11:$P$33,"emisiones",'6.2_Resultats Espanya'!E$71:E128)/1000)-SUM(G$72:G127)</f>
        <v>0</v>
      </c>
      <c r="H128" s="507">
        <f>(DSUM('3_Emissions processos'!$E$13:$L$35,"emisiones",'6.2_Resultats Espanya'!E$71:E128)/1000)-SUM(H$72:H127)</f>
        <v>0</v>
      </c>
      <c r="I128" s="507"/>
      <c r="J128" s="508">
        <f t="shared" si="2"/>
        <v>0</v>
      </c>
      <c r="K128" s="508"/>
      <c r="L128" s="508"/>
      <c r="M128" s="508"/>
      <c r="N128" s="507">
        <f>(DSUM('4.2_Electricitat Espanya'!$E$19:$J$41,"emisiones",'6.2_Resultats Espanya'!E$71:E128)/1000)-SUM(N$72:N127)</f>
        <v>0</v>
      </c>
      <c r="O128" s="507"/>
      <c r="P128" s="508">
        <f t="shared" si="3"/>
        <v>0</v>
      </c>
      <c r="Q128" s="508"/>
      <c r="R128" s="508"/>
      <c r="S128" s="400"/>
      <c r="T128" s="400"/>
      <c r="U128" s="400"/>
    </row>
    <row r="129" spans="5:21" x14ac:dyDescent="0.3">
      <c r="E129" s="197" t="str">
        <f>IF(Dades!C719="","",Dades!C719)</f>
        <v/>
      </c>
      <c r="F129" s="396">
        <f>(DSUM('1_Combustibles fòssils'!$E$17:$N$39,"emisiones",'6.2_Resultats Espanya'!E$71:E129)/1000)-SUM(F$72:F128)</f>
        <v>0</v>
      </c>
      <c r="G129" s="396">
        <f>(DSUM('2_Fluorats'!$E$11:$P$33,"emisiones",'6.2_Resultats Espanya'!E$71:E129)/1000)-SUM(G$72:G128)</f>
        <v>0</v>
      </c>
      <c r="H129" s="507">
        <f>(DSUM('3_Emissions processos'!$E$13:$L$35,"emisiones",'6.2_Resultats Espanya'!E$71:E129)/1000)-SUM(H$72:H128)</f>
        <v>0</v>
      </c>
      <c r="I129" s="507"/>
      <c r="J129" s="508">
        <f t="shared" si="2"/>
        <v>0</v>
      </c>
      <c r="K129" s="508"/>
      <c r="L129" s="508"/>
      <c r="M129" s="508"/>
      <c r="N129" s="507">
        <f>(DSUM('4.2_Electricitat Espanya'!$E$19:$J$41,"emisiones",'6.2_Resultats Espanya'!E$71:E129)/1000)-SUM(N$72:N128)</f>
        <v>0</v>
      </c>
      <c r="O129" s="507"/>
      <c r="P129" s="508">
        <f t="shared" si="3"/>
        <v>0</v>
      </c>
      <c r="Q129" s="508"/>
      <c r="R129" s="508"/>
      <c r="S129" s="400"/>
      <c r="T129" s="400"/>
      <c r="U129" s="400"/>
    </row>
    <row r="130" spans="5:21" x14ac:dyDescent="0.3">
      <c r="E130" s="197" t="str">
        <f>IF(Dades!C720="","",Dades!C720)</f>
        <v/>
      </c>
      <c r="F130" s="396">
        <f>(DSUM('1_Combustibles fòssils'!$E$17:$N$39,"emisiones",'6.2_Resultats Espanya'!E$71:E130)/1000)-SUM(F$72:F129)</f>
        <v>0</v>
      </c>
      <c r="G130" s="396">
        <f>(DSUM('2_Fluorats'!$E$11:$P$33,"emisiones",'6.2_Resultats Espanya'!E$71:E130)/1000)-SUM(G$72:G129)</f>
        <v>0</v>
      </c>
      <c r="H130" s="507">
        <f>(DSUM('3_Emissions processos'!$E$13:$L$35,"emisiones",'6.2_Resultats Espanya'!E$71:E130)/1000)-SUM(H$72:H129)</f>
        <v>0</v>
      </c>
      <c r="I130" s="507"/>
      <c r="J130" s="508">
        <f t="shared" si="2"/>
        <v>0</v>
      </c>
      <c r="K130" s="508"/>
      <c r="L130" s="508"/>
      <c r="M130" s="508"/>
      <c r="N130" s="507">
        <f>(DSUM('4.2_Electricitat Espanya'!$E$19:$J$41,"emisiones",'6.2_Resultats Espanya'!E$71:E130)/1000)-SUM(N$72:N129)</f>
        <v>0</v>
      </c>
      <c r="O130" s="507"/>
      <c r="P130" s="508">
        <f t="shared" si="3"/>
        <v>0</v>
      </c>
      <c r="Q130" s="508"/>
      <c r="R130" s="508"/>
      <c r="S130" s="400"/>
      <c r="T130" s="400"/>
      <c r="U130" s="400"/>
    </row>
    <row r="131" spans="5:21" x14ac:dyDescent="0.3">
      <c r="E131" s="197" t="str">
        <f>IF(Dades!C721="","",Dades!C721)</f>
        <v/>
      </c>
      <c r="F131" s="396">
        <f>(DSUM('1_Combustibles fòssils'!$E$17:$N$39,"emisiones",'6.2_Resultats Espanya'!E$71:E131)/1000)-SUM(F$72:F130)</f>
        <v>0</v>
      </c>
      <c r="G131" s="396">
        <f>(DSUM('2_Fluorats'!$E$11:$P$33,"emisiones",'6.2_Resultats Espanya'!E$71:E131)/1000)-SUM(G$72:G130)</f>
        <v>0</v>
      </c>
      <c r="H131" s="507">
        <f>(DSUM('3_Emissions processos'!$E$13:$L$35,"emisiones",'6.2_Resultats Espanya'!E$71:E131)/1000)-SUM(H$72:H130)</f>
        <v>0</v>
      </c>
      <c r="I131" s="507"/>
      <c r="J131" s="508">
        <f t="shared" si="2"/>
        <v>0</v>
      </c>
      <c r="K131" s="508"/>
      <c r="L131" s="508"/>
      <c r="M131" s="508"/>
      <c r="N131" s="507">
        <f>(DSUM('4.2_Electricitat Espanya'!$E$19:$J$41,"emisiones",'6.2_Resultats Espanya'!E$71:E131)/1000)-SUM(N$72:N130)</f>
        <v>0</v>
      </c>
      <c r="O131" s="507"/>
      <c r="P131" s="508">
        <f t="shared" si="3"/>
        <v>0</v>
      </c>
      <c r="Q131" s="508"/>
      <c r="R131" s="508"/>
      <c r="S131" s="400"/>
      <c r="T131" s="400"/>
      <c r="U131" s="400"/>
    </row>
    <row r="132" spans="5:21" x14ac:dyDescent="0.3">
      <c r="E132" s="197" t="str">
        <f>IF(Dades!C722="","",Dades!C722)</f>
        <v/>
      </c>
      <c r="F132" s="396">
        <f>(DSUM('1_Combustibles fòssils'!$E$17:$N$39,"emisiones",'6.2_Resultats Espanya'!E$71:E132)/1000)-SUM(F$72:F131)</f>
        <v>0</v>
      </c>
      <c r="G132" s="396">
        <f>(DSUM('2_Fluorats'!$E$11:$P$33,"emisiones",'6.2_Resultats Espanya'!E$71:E132)/1000)-SUM(G$72:G131)</f>
        <v>0</v>
      </c>
      <c r="H132" s="507">
        <f>(DSUM('3_Emissions processos'!$E$13:$L$35,"emisiones",'6.2_Resultats Espanya'!E$71:E132)/1000)-SUM(H$72:H131)</f>
        <v>0</v>
      </c>
      <c r="I132" s="507"/>
      <c r="J132" s="508">
        <f t="shared" si="2"/>
        <v>0</v>
      </c>
      <c r="K132" s="508"/>
      <c r="L132" s="508"/>
      <c r="M132" s="508"/>
      <c r="N132" s="507">
        <f>(DSUM('4.2_Electricitat Espanya'!$E$19:$J$41,"emisiones",'6.2_Resultats Espanya'!E$71:E132)/1000)-SUM(N$72:N131)</f>
        <v>0</v>
      </c>
      <c r="O132" s="507"/>
      <c r="P132" s="508">
        <f t="shared" si="3"/>
        <v>0</v>
      </c>
      <c r="Q132" s="508"/>
      <c r="R132" s="508"/>
      <c r="S132" s="400"/>
      <c r="T132" s="400"/>
      <c r="U132" s="400"/>
    </row>
    <row r="133" spans="5:21" x14ac:dyDescent="0.3">
      <c r="E133" s="197" t="str">
        <f>IF(Dades!C723="","",Dades!C723)</f>
        <v/>
      </c>
      <c r="F133" s="396">
        <f>(DSUM('1_Combustibles fòssils'!$E$17:$N$39,"emisiones",'6.2_Resultats Espanya'!E$71:E133)/1000)-SUM(F$72:F132)</f>
        <v>0</v>
      </c>
      <c r="G133" s="396">
        <f>(DSUM('2_Fluorats'!$E$11:$P$33,"emisiones",'6.2_Resultats Espanya'!E$71:E133)/1000)-SUM(G$72:G132)</f>
        <v>0</v>
      </c>
      <c r="H133" s="507">
        <f>(DSUM('3_Emissions processos'!$E$13:$L$35,"emisiones",'6.2_Resultats Espanya'!E$71:E133)/1000)-SUM(H$72:H132)</f>
        <v>0</v>
      </c>
      <c r="I133" s="507"/>
      <c r="J133" s="508">
        <f t="shared" si="2"/>
        <v>0</v>
      </c>
      <c r="K133" s="508"/>
      <c r="L133" s="508"/>
      <c r="M133" s="508"/>
      <c r="N133" s="507">
        <f>(DSUM('4.2_Electricitat Espanya'!$E$19:$J$41,"emisiones",'6.2_Resultats Espanya'!E$71:E133)/1000)-SUM(N$72:N132)</f>
        <v>0</v>
      </c>
      <c r="O133" s="507"/>
      <c r="P133" s="508">
        <f t="shared" si="3"/>
        <v>0</v>
      </c>
      <c r="Q133" s="508"/>
      <c r="R133" s="508"/>
      <c r="S133" s="400"/>
      <c r="T133" s="400"/>
      <c r="U133" s="400"/>
    </row>
    <row r="134" spans="5:21" x14ac:dyDescent="0.3">
      <c r="E134" s="197" t="str">
        <f>IF(Dades!C724="","",Dades!C724)</f>
        <v/>
      </c>
      <c r="F134" s="396">
        <f>(DSUM('1_Combustibles fòssils'!$E$17:$N$39,"emisiones",'6.2_Resultats Espanya'!E$71:E134)/1000)-SUM(F$72:F133)</f>
        <v>0</v>
      </c>
      <c r="G134" s="396">
        <f>(DSUM('2_Fluorats'!$E$11:$P$33,"emisiones",'6.2_Resultats Espanya'!E$71:E134)/1000)-SUM(G$72:G133)</f>
        <v>0</v>
      </c>
      <c r="H134" s="507">
        <f>(DSUM('3_Emissions processos'!$E$13:$L$35,"emisiones",'6.2_Resultats Espanya'!E$71:E134)/1000)-SUM(H$72:H133)</f>
        <v>0</v>
      </c>
      <c r="I134" s="507"/>
      <c r="J134" s="508">
        <f t="shared" si="2"/>
        <v>0</v>
      </c>
      <c r="K134" s="508"/>
      <c r="L134" s="508"/>
      <c r="M134" s="508"/>
      <c r="N134" s="507">
        <f>(DSUM('4.2_Electricitat Espanya'!$E$19:$J$41,"emisiones",'6.2_Resultats Espanya'!E$71:E134)/1000)-SUM(N$72:N133)</f>
        <v>0</v>
      </c>
      <c r="O134" s="507"/>
      <c r="P134" s="508">
        <f t="shared" si="3"/>
        <v>0</v>
      </c>
      <c r="Q134" s="508"/>
      <c r="R134" s="508"/>
      <c r="S134" s="400"/>
      <c r="T134" s="400"/>
      <c r="U134" s="400"/>
    </row>
    <row r="135" spans="5:21" x14ac:dyDescent="0.3">
      <c r="E135" s="197" t="str">
        <f>IF(Dades!C725="","",Dades!C725)</f>
        <v/>
      </c>
      <c r="F135" s="396">
        <f>(DSUM('1_Combustibles fòssils'!$E$17:$N$39,"emisiones",'6.2_Resultats Espanya'!E$71:E135)/1000)-SUM(F$72:F134)</f>
        <v>0</v>
      </c>
      <c r="G135" s="396">
        <f>(DSUM('2_Fluorats'!$E$11:$P$33,"emisiones",'6.2_Resultats Espanya'!E$71:E135)/1000)-SUM(G$72:G134)</f>
        <v>0</v>
      </c>
      <c r="H135" s="507">
        <f>(DSUM('3_Emissions processos'!$E$13:$L$35,"emisiones",'6.2_Resultats Espanya'!E$71:E135)/1000)-SUM(H$72:H134)</f>
        <v>0</v>
      </c>
      <c r="I135" s="507"/>
      <c r="J135" s="508">
        <f t="shared" si="2"/>
        <v>0</v>
      </c>
      <c r="K135" s="508"/>
      <c r="L135" s="508"/>
      <c r="M135" s="508"/>
      <c r="N135" s="507">
        <f>(DSUM('4.2_Electricitat Espanya'!$E$19:$J$41,"emisiones",'6.2_Resultats Espanya'!E$71:E135)/1000)-SUM(N$72:N134)</f>
        <v>0</v>
      </c>
      <c r="O135" s="507"/>
      <c r="P135" s="508">
        <f t="shared" si="3"/>
        <v>0</v>
      </c>
      <c r="Q135" s="508"/>
      <c r="R135" s="508"/>
      <c r="S135" s="400"/>
      <c r="T135" s="400"/>
      <c r="U135" s="400"/>
    </row>
    <row r="136" spans="5:21" x14ac:dyDescent="0.3">
      <c r="E136" s="197" t="str">
        <f>IF(Dades!C726="","",Dades!C726)</f>
        <v/>
      </c>
      <c r="F136" s="396">
        <f>(DSUM('1_Combustibles fòssils'!$E$17:$N$39,"emisiones",'6.2_Resultats Espanya'!E$71:E136)/1000)-SUM(F$72:F135)</f>
        <v>0</v>
      </c>
      <c r="G136" s="396">
        <f>(DSUM('2_Fluorats'!$E$11:$P$33,"emisiones",'6.2_Resultats Espanya'!E$71:E136)/1000)-SUM(G$72:G135)</f>
        <v>0</v>
      </c>
      <c r="H136" s="507">
        <f>(DSUM('3_Emissions processos'!$E$13:$L$35,"emisiones",'6.2_Resultats Espanya'!E$71:E136)/1000)-SUM(H$72:H135)</f>
        <v>0</v>
      </c>
      <c r="I136" s="507"/>
      <c r="J136" s="508">
        <f t="shared" si="2"/>
        <v>0</v>
      </c>
      <c r="K136" s="508"/>
      <c r="L136" s="508"/>
      <c r="M136" s="508"/>
      <c r="N136" s="507">
        <f>(DSUM('4.2_Electricitat Espanya'!$E$19:$J$41,"emisiones",'6.2_Resultats Espanya'!E$71:E136)/1000)-SUM(N$72:N135)</f>
        <v>0</v>
      </c>
      <c r="O136" s="507"/>
      <c r="P136" s="508">
        <f t="shared" si="3"/>
        <v>0</v>
      </c>
      <c r="Q136" s="508"/>
      <c r="R136" s="508"/>
      <c r="S136" s="400"/>
      <c r="T136" s="400"/>
      <c r="U136" s="400"/>
    </row>
    <row r="137" spans="5:21" x14ac:dyDescent="0.3">
      <c r="E137" s="197" t="str">
        <f>IF(Dades!C727="","",Dades!C727)</f>
        <v/>
      </c>
      <c r="F137" s="396">
        <f>(DSUM('1_Combustibles fòssils'!$E$17:$N$39,"emisiones",'6.2_Resultats Espanya'!E$71:E137)/1000)-SUM(F$72:F136)</f>
        <v>0</v>
      </c>
      <c r="G137" s="396">
        <f>(DSUM('2_Fluorats'!$E$11:$P$33,"emisiones",'6.2_Resultats Espanya'!E$71:E137)/1000)-SUM(G$72:G136)</f>
        <v>0</v>
      </c>
      <c r="H137" s="507">
        <f>(DSUM('3_Emissions processos'!$E$13:$L$35,"emisiones",'6.2_Resultats Espanya'!E$71:E137)/1000)-SUM(H$72:H136)</f>
        <v>0</v>
      </c>
      <c r="I137" s="507"/>
      <c r="J137" s="508">
        <f t="shared" si="2"/>
        <v>0</v>
      </c>
      <c r="K137" s="508"/>
      <c r="L137" s="508"/>
      <c r="M137" s="508"/>
      <c r="N137" s="507">
        <f>(DSUM('4.2_Electricitat Espanya'!$E$19:$J$41,"emisiones",'6.2_Resultats Espanya'!E$71:E137)/1000)-SUM(N$72:N136)</f>
        <v>0</v>
      </c>
      <c r="O137" s="507"/>
      <c r="P137" s="508">
        <f t="shared" si="3"/>
        <v>0</v>
      </c>
      <c r="Q137" s="508"/>
      <c r="R137" s="508"/>
      <c r="S137" s="400"/>
      <c r="T137" s="400"/>
      <c r="U137" s="400"/>
    </row>
    <row r="138" spans="5:21" x14ac:dyDescent="0.3">
      <c r="E138" s="197" t="str">
        <f>IF(Dades!C728="","",Dades!C728)</f>
        <v/>
      </c>
      <c r="F138" s="396">
        <f>(DSUM('1_Combustibles fòssils'!$E$17:$N$39,"emisiones",'6.2_Resultats Espanya'!E$71:E138)/1000)-SUM(F$72:F137)</f>
        <v>0</v>
      </c>
      <c r="G138" s="396">
        <f>(DSUM('2_Fluorats'!$E$11:$P$33,"emisiones",'6.2_Resultats Espanya'!E$71:E138)/1000)-SUM(G$72:G137)</f>
        <v>0</v>
      </c>
      <c r="H138" s="507">
        <f>(DSUM('3_Emissions processos'!$E$13:$L$35,"emisiones",'6.2_Resultats Espanya'!E$71:E138)/1000)-SUM(H$72:H137)</f>
        <v>0</v>
      </c>
      <c r="I138" s="507"/>
      <c r="J138" s="508">
        <f t="shared" ref="J138:J201" si="4">SUM(F138:I138)</f>
        <v>0</v>
      </c>
      <c r="K138" s="508"/>
      <c r="L138" s="508"/>
      <c r="M138" s="508"/>
      <c r="N138" s="507">
        <f>(DSUM('4.2_Electricitat Espanya'!$E$19:$J$41,"emisiones",'6.2_Resultats Espanya'!E$71:E138)/1000)-SUM(N$72:N137)</f>
        <v>0</v>
      </c>
      <c r="O138" s="507"/>
      <c r="P138" s="508">
        <f t="shared" ref="P138:P201" si="5">J138+N138</f>
        <v>0</v>
      </c>
      <c r="Q138" s="508"/>
      <c r="R138" s="508"/>
      <c r="S138" s="400"/>
      <c r="T138" s="400"/>
      <c r="U138" s="400"/>
    </row>
    <row r="139" spans="5:21" x14ac:dyDescent="0.3">
      <c r="E139" s="197" t="str">
        <f>IF(Dades!C729="","",Dades!C729)</f>
        <v/>
      </c>
      <c r="F139" s="396">
        <f>(DSUM('1_Combustibles fòssils'!$E$17:$N$39,"emisiones",'6.2_Resultats Espanya'!E$71:E139)/1000)-SUM(F$72:F138)</f>
        <v>0</v>
      </c>
      <c r="G139" s="396">
        <f>(DSUM('2_Fluorats'!$E$11:$P$33,"emisiones",'6.2_Resultats Espanya'!E$71:E139)/1000)-SUM(G$72:G138)</f>
        <v>0</v>
      </c>
      <c r="H139" s="507">
        <f>(DSUM('3_Emissions processos'!$E$13:$L$35,"emisiones",'6.2_Resultats Espanya'!E$71:E139)/1000)-SUM(H$72:H138)</f>
        <v>0</v>
      </c>
      <c r="I139" s="507"/>
      <c r="J139" s="508">
        <f t="shared" si="4"/>
        <v>0</v>
      </c>
      <c r="K139" s="508"/>
      <c r="L139" s="508"/>
      <c r="M139" s="508"/>
      <c r="N139" s="507">
        <f>(DSUM('4.2_Electricitat Espanya'!$E$19:$J$41,"emisiones",'6.2_Resultats Espanya'!E$71:E139)/1000)-SUM(N$72:N138)</f>
        <v>0</v>
      </c>
      <c r="O139" s="507"/>
      <c r="P139" s="508">
        <f t="shared" si="5"/>
        <v>0</v>
      </c>
      <c r="Q139" s="508"/>
      <c r="R139" s="508"/>
      <c r="S139" s="400"/>
      <c r="T139" s="400"/>
      <c r="U139" s="400"/>
    </row>
    <row r="140" spans="5:21" x14ac:dyDescent="0.3">
      <c r="E140" s="197" t="str">
        <f>IF(Dades!C730="","",Dades!C730)</f>
        <v/>
      </c>
      <c r="F140" s="396">
        <f>(DSUM('1_Combustibles fòssils'!$E$17:$N$39,"emisiones",'6.2_Resultats Espanya'!E$71:E140)/1000)-SUM(F$72:F139)</f>
        <v>0</v>
      </c>
      <c r="G140" s="396">
        <f>(DSUM('2_Fluorats'!$E$11:$P$33,"emisiones",'6.2_Resultats Espanya'!E$71:E140)/1000)-SUM(G$72:G139)</f>
        <v>0</v>
      </c>
      <c r="H140" s="507">
        <f>(DSUM('3_Emissions processos'!$E$13:$L$35,"emisiones",'6.2_Resultats Espanya'!E$71:E140)/1000)-SUM(H$72:H139)</f>
        <v>0</v>
      </c>
      <c r="I140" s="507"/>
      <c r="J140" s="508">
        <f t="shared" si="4"/>
        <v>0</v>
      </c>
      <c r="K140" s="508"/>
      <c r="L140" s="508"/>
      <c r="M140" s="508"/>
      <c r="N140" s="507">
        <f>(DSUM('4.2_Electricitat Espanya'!$E$19:$J$41,"emisiones",'6.2_Resultats Espanya'!E$71:E140)/1000)-SUM(N$72:N139)</f>
        <v>0</v>
      </c>
      <c r="O140" s="507"/>
      <c r="P140" s="508">
        <f t="shared" si="5"/>
        <v>0</v>
      </c>
      <c r="Q140" s="508"/>
      <c r="R140" s="508"/>
      <c r="S140" s="400"/>
      <c r="T140" s="400"/>
      <c r="U140" s="400"/>
    </row>
    <row r="141" spans="5:21" x14ac:dyDescent="0.3">
      <c r="E141" s="197" t="str">
        <f>IF(Dades!C731="","",Dades!C731)</f>
        <v/>
      </c>
      <c r="F141" s="396">
        <f>(DSUM('1_Combustibles fòssils'!$E$17:$N$39,"emisiones",'6.2_Resultats Espanya'!E$71:E141)/1000)-SUM(F$72:F140)</f>
        <v>0</v>
      </c>
      <c r="G141" s="396">
        <f>(DSUM('2_Fluorats'!$E$11:$P$33,"emisiones",'6.2_Resultats Espanya'!E$71:E141)/1000)-SUM(G$72:G140)</f>
        <v>0</v>
      </c>
      <c r="H141" s="507">
        <f>(DSUM('3_Emissions processos'!$E$13:$L$35,"emisiones",'6.2_Resultats Espanya'!E$71:E141)/1000)-SUM(H$72:H140)</f>
        <v>0</v>
      </c>
      <c r="I141" s="507"/>
      <c r="J141" s="508">
        <f t="shared" si="4"/>
        <v>0</v>
      </c>
      <c r="K141" s="508"/>
      <c r="L141" s="508"/>
      <c r="M141" s="508"/>
      <c r="N141" s="507">
        <f>(DSUM('4.2_Electricitat Espanya'!$E$19:$J$41,"emisiones",'6.2_Resultats Espanya'!E$71:E141)/1000)-SUM(N$72:N140)</f>
        <v>0</v>
      </c>
      <c r="O141" s="507"/>
      <c r="P141" s="508">
        <f t="shared" si="5"/>
        <v>0</v>
      </c>
      <c r="Q141" s="508"/>
      <c r="R141" s="508"/>
      <c r="S141" s="400"/>
      <c r="T141" s="400"/>
      <c r="U141" s="400"/>
    </row>
    <row r="142" spans="5:21" x14ac:dyDescent="0.3">
      <c r="E142" s="197" t="str">
        <f>IF(Dades!C732="","",Dades!C732)</f>
        <v/>
      </c>
      <c r="F142" s="396">
        <f>(DSUM('1_Combustibles fòssils'!$E$17:$N$39,"emisiones",'6.2_Resultats Espanya'!E$71:E142)/1000)-SUM(F$72:F141)</f>
        <v>0</v>
      </c>
      <c r="G142" s="396">
        <f>(DSUM('2_Fluorats'!$E$11:$P$33,"emisiones",'6.2_Resultats Espanya'!E$71:E142)/1000)-SUM(G$72:G141)</f>
        <v>0</v>
      </c>
      <c r="H142" s="507">
        <f>(DSUM('3_Emissions processos'!$E$13:$L$35,"emisiones",'6.2_Resultats Espanya'!E$71:E142)/1000)-SUM(H$72:H141)</f>
        <v>0</v>
      </c>
      <c r="I142" s="507"/>
      <c r="J142" s="508">
        <f t="shared" si="4"/>
        <v>0</v>
      </c>
      <c r="K142" s="508"/>
      <c r="L142" s="508"/>
      <c r="M142" s="508"/>
      <c r="N142" s="507">
        <f>(DSUM('4.2_Electricitat Espanya'!$E$19:$J$41,"emisiones",'6.2_Resultats Espanya'!E$71:E142)/1000)-SUM(N$72:N141)</f>
        <v>0</v>
      </c>
      <c r="O142" s="507"/>
      <c r="P142" s="508">
        <f t="shared" si="5"/>
        <v>0</v>
      </c>
      <c r="Q142" s="508"/>
      <c r="R142" s="508"/>
      <c r="S142" s="400"/>
      <c r="T142" s="400"/>
      <c r="U142" s="400"/>
    </row>
    <row r="143" spans="5:21" x14ac:dyDescent="0.3">
      <c r="E143" s="197" t="str">
        <f>IF(Dades!C733="","",Dades!C733)</f>
        <v/>
      </c>
      <c r="F143" s="396">
        <f>(DSUM('1_Combustibles fòssils'!$E$17:$N$39,"emisiones",'6.2_Resultats Espanya'!E$71:E143)/1000)-SUM(F$72:F142)</f>
        <v>0</v>
      </c>
      <c r="G143" s="396">
        <f>(DSUM('2_Fluorats'!$E$11:$P$33,"emisiones",'6.2_Resultats Espanya'!E$71:E143)/1000)-SUM(G$72:G142)</f>
        <v>0</v>
      </c>
      <c r="H143" s="507">
        <f>(DSUM('3_Emissions processos'!$E$13:$L$35,"emisiones",'6.2_Resultats Espanya'!E$71:E143)/1000)-SUM(H$72:H142)</f>
        <v>0</v>
      </c>
      <c r="I143" s="507"/>
      <c r="J143" s="508">
        <f t="shared" si="4"/>
        <v>0</v>
      </c>
      <c r="K143" s="508"/>
      <c r="L143" s="508"/>
      <c r="M143" s="508"/>
      <c r="N143" s="507">
        <f>(DSUM('4.2_Electricitat Espanya'!$E$19:$J$41,"emisiones",'6.2_Resultats Espanya'!E$71:E143)/1000)-SUM(N$72:N142)</f>
        <v>0</v>
      </c>
      <c r="O143" s="507"/>
      <c r="P143" s="508">
        <f t="shared" si="5"/>
        <v>0</v>
      </c>
      <c r="Q143" s="508"/>
      <c r="R143" s="508"/>
      <c r="S143" s="400"/>
      <c r="T143" s="400"/>
      <c r="U143" s="400"/>
    </row>
    <row r="144" spans="5:21" x14ac:dyDescent="0.3">
      <c r="E144" s="197" t="str">
        <f>IF(Dades!C734="","",Dades!C734)</f>
        <v/>
      </c>
      <c r="F144" s="396">
        <f>(DSUM('1_Combustibles fòssils'!$E$17:$N$39,"emisiones",'6.2_Resultats Espanya'!E$71:E144)/1000)-SUM(F$72:F143)</f>
        <v>0</v>
      </c>
      <c r="G144" s="396">
        <f>(DSUM('2_Fluorats'!$E$11:$P$33,"emisiones",'6.2_Resultats Espanya'!E$71:E144)/1000)-SUM(G$72:G143)</f>
        <v>0</v>
      </c>
      <c r="H144" s="507">
        <f>(DSUM('3_Emissions processos'!$E$13:$L$35,"emisiones",'6.2_Resultats Espanya'!E$71:E144)/1000)-SUM(H$72:H143)</f>
        <v>0</v>
      </c>
      <c r="I144" s="507"/>
      <c r="J144" s="508">
        <f t="shared" si="4"/>
        <v>0</v>
      </c>
      <c r="K144" s="508"/>
      <c r="L144" s="508"/>
      <c r="M144" s="508"/>
      <c r="N144" s="507">
        <f>(DSUM('4.2_Electricitat Espanya'!$E$19:$J$41,"emisiones",'6.2_Resultats Espanya'!E$71:E144)/1000)-SUM(N$72:N143)</f>
        <v>0</v>
      </c>
      <c r="O144" s="507"/>
      <c r="P144" s="508">
        <f t="shared" si="5"/>
        <v>0</v>
      </c>
      <c r="Q144" s="508"/>
      <c r="R144" s="508"/>
      <c r="S144" s="400"/>
      <c r="T144" s="400"/>
      <c r="U144" s="400"/>
    </row>
    <row r="145" spans="5:21" x14ac:dyDescent="0.3">
      <c r="E145" s="197" t="str">
        <f>IF(Dades!C735="","",Dades!C735)</f>
        <v/>
      </c>
      <c r="F145" s="396">
        <f>(DSUM('1_Combustibles fòssils'!$E$17:$N$39,"emisiones",'6.2_Resultats Espanya'!E$71:E145)/1000)-SUM(F$72:F144)</f>
        <v>0</v>
      </c>
      <c r="G145" s="396">
        <f>(DSUM('2_Fluorats'!$E$11:$P$33,"emisiones",'6.2_Resultats Espanya'!E$71:E145)/1000)-SUM(G$72:G144)</f>
        <v>0</v>
      </c>
      <c r="H145" s="507">
        <f>(DSUM('3_Emissions processos'!$E$13:$L$35,"emisiones",'6.2_Resultats Espanya'!E$71:E145)/1000)-SUM(H$72:H144)</f>
        <v>0</v>
      </c>
      <c r="I145" s="507"/>
      <c r="J145" s="508">
        <f t="shared" si="4"/>
        <v>0</v>
      </c>
      <c r="K145" s="508"/>
      <c r="L145" s="508"/>
      <c r="M145" s="508"/>
      <c r="N145" s="507">
        <f>(DSUM('4.2_Electricitat Espanya'!$E$19:$J$41,"emisiones",'6.2_Resultats Espanya'!E$71:E145)/1000)-SUM(N$72:N144)</f>
        <v>0</v>
      </c>
      <c r="O145" s="507"/>
      <c r="P145" s="508">
        <f t="shared" si="5"/>
        <v>0</v>
      </c>
      <c r="Q145" s="508"/>
      <c r="R145" s="508"/>
      <c r="S145" s="400"/>
      <c r="T145" s="400"/>
      <c r="U145" s="400"/>
    </row>
    <row r="146" spans="5:21" x14ac:dyDescent="0.3">
      <c r="E146" s="197" t="str">
        <f>IF(Dades!C736="","",Dades!C736)</f>
        <v/>
      </c>
      <c r="F146" s="396">
        <f>(DSUM('1_Combustibles fòssils'!$E$17:$N$39,"emisiones",'6.2_Resultats Espanya'!E$71:E146)/1000)-SUM(F$72:F145)</f>
        <v>0</v>
      </c>
      <c r="G146" s="396">
        <f>(DSUM('2_Fluorats'!$E$11:$P$33,"emisiones",'6.2_Resultats Espanya'!E$71:E146)/1000)-SUM(G$72:G145)</f>
        <v>0</v>
      </c>
      <c r="H146" s="507">
        <f>(DSUM('3_Emissions processos'!$E$13:$L$35,"emisiones",'6.2_Resultats Espanya'!E$71:E146)/1000)-SUM(H$72:H145)</f>
        <v>0</v>
      </c>
      <c r="I146" s="507"/>
      <c r="J146" s="508">
        <f t="shared" si="4"/>
        <v>0</v>
      </c>
      <c r="K146" s="508"/>
      <c r="L146" s="508"/>
      <c r="M146" s="508"/>
      <c r="N146" s="507">
        <f>(DSUM('4.2_Electricitat Espanya'!$E$19:$J$41,"emisiones",'6.2_Resultats Espanya'!E$71:E146)/1000)-SUM(N$72:N145)</f>
        <v>0</v>
      </c>
      <c r="O146" s="507"/>
      <c r="P146" s="508">
        <f t="shared" si="5"/>
        <v>0</v>
      </c>
      <c r="Q146" s="508"/>
      <c r="R146" s="508"/>
      <c r="S146" s="400"/>
      <c r="T146" s="400"/>
      <c r="U146" s="400"/>
    </row>
    <row r="147" spans="5:21" x14ac:dyDescent="0.3">
      <c r="E147" s="197" t="str">
        <f>IF(Dades!C737="","",Dades!C737)</f>
        <v/>
      </c>
      <c r="F147" s="396">
        <f>(DSUM('1_Combustibles fòssils'!$E$17:$N$39,"emisiones",'6.2_Resultats Espanya'!E$71:E147)/1000)-SUM(F$72:F146)</f>
        <v>0</v>
      </c>
      <c r="G147" s="396">
        <f>(DSUM('2_Fluorats'!$E$11:$P$33,"emisiones",'6.2_Resultats Espanya'!E$71:E147)/1000)-SUM(G$72:G146)</f>
        <v>0</v>
      </c>
      <c r="H147" s="507">
        <f>(DSUM('3_Emissions processos'!$E$13:$L$35,"emisiones",'6.2_Resultats Espanya'!E$71:E147)/1000)-SUM(H$72:H146)</f>
        <v>0</v>
      </c>
      <c r="I147" s="507"/>
      <c r="J147" s="508">
        <f t="shared" si="4"/>
        <v>0</v>
      </c>
      <c r="K147" s="508"/>
      <c r="L147" s="508"/>
      <c r="M147" s="508"/>
      <c r="N147" s="507">
        <f>(DSUM('4.2_Electricitat Espanya'!$E$19:$J$41,"emisiones",'6.2_Resultats Espanya'!E$71:E147)/1000)-SUM(N$72:N146)</f>
        <v>0</v>
      </c>
      <c r="O147" s="507"/>
      <c r="P147" s="508">
        <f t="shared" si="5"/>
        <v>0</v>
      </c>
      <c r="Q147" s="508"/>
      <c r="R147" s="508"/>
      <c r="S147" s="400"/>
      <c r="T147" s="400"/>
      <c r="U147" s="400"/>
    </row>
    <row r="148" spans="5:21" x14ac:dyDescent="0.3">
      <c r="E148" s="197" t="str">
        <f>IF(Dades!C738="","",Dades!C738)</f>
        <v/>
      </c>
      <c r="F148" s="396">
        <f>(DSUM('1_Combustibles fòssils'!$E$17:$N$39,"emisiones",'6.2_Resultats Espanya'!E$71:E148)/1000)-SUM(F$72:F147)</f>
        <v>0</v>
      </c>
      <c r="G148" s="396">
        <f>(DSUM('2_Fluorats'!$E$11:$P$33,"emisiones",'6.2_Resultats Espanya'!E$71:E148)/1000)-SUM(G$72:G147)</f>
        <v>0</v>
      </c>
      <c r="H148" s="507">
        <f>(DSUM('3_Emissions processos'!$E$13:$L$35,"emisiones",'6.2_Resultats Espanya'!E$71:E148)/1000)-SUM(H$72:H147)</f>
        <v>0</v>
      </c>
      <c r="I148" s="507"/>
      <c r="J148" s="508">
        <f t="shared" si="4"/>
        <v>0</v>
      </c>
      <c r="K148" s="508"/>
      <c r="L148" s="508"/>
      <c r="M148" s="508"/>
      <c r="N148" s="507">
        <f>(DSUM('4.2_Electricitat Espanya'!$E$19:$J$41,"emisiones",'6.2_Resultats Espanya'!E$71:E148)/1000)-SUM(N$72:N147)</f>
        <v>0</v>
      </c>
      <c r="O148" s="507"/>
      <c r="P148" s="508">
        <f t="shared" si="5"/>
        <v>0</v>
      </c>
      <c r="Q148" s="508"/>
      <c r="R148" s="508"/>
      <c r="S148" s="400"/>
      <c r="T148" s="400"/>
      <c r="U148" s="400"/>
    </row>
    <row r="149" spans="5:21" x14ac:dyDescent="0.3">
      <c r="E149" s="197" t="str">
        <f>IF(Dades!C739="","",Dades!C739)</f>
        <v/>
      </c>
      <c r="F149" s="396">
        <f>(DSUM('1_Combustibles fòssils'!$E$17:$N$39,"emisiones",'6.2_Resultats Espanya'!E$71:E149)/1000)-SUM(F$72:F148)</f>
        <v>0</v>
      </c>
      <c r="G149" s="396">
        <f>(DSUM('2_Fluorats'!$E$11:$P$33,"emisiones",'6.2_Resultats Espanya'!E$71:E149)/1000)-SUM(G$72:G148)</f>
        <v>0</v>
      </c>
      <c r="H149" s="507">
        <f>(DSUM('3_Emissions processos'!$E$13:$L$35,"emisiones",'6.2_Resultats Espanya'!E$71:E149)/1000)-SUM(H$72:H148)</f>
        <v>0</v>
      </c>
      <c r="I149" s="507"/>
      <c r="J149" s="508">
        <f t="shared" si="4"/>
        <v>0</v>
      </c>
      <c r="K149" s="508"/>
      <c r="L149" s="508"/>
      <c r="M149" s="508"/>
      <c r="N149" s="507">
        <f>(DSUM('4.2_Electricitat Espanya'!$E$19:$J$41,"emisiones",'6.2_Resultats Espanya'!E$71:E149)/1000)-SUM(N$72:N148)</f>
        <v>0</v>
      </c>
      <c r="O149" s="507"/>
      <c r="P149" s="508">
        <f t="shared" si="5"/>
        <v>0</v>
      </c>
      <c r="Q149" s="508"/>
      <c r="R149" s="508"/>
      <c r="S149" s="400"/>
      <c r="T149" s="400"/>
      <c r="U149" s="400"/>
    </row>
    <row r="150" spans="5:21" x14ac:dyDescent="0.3">
      <c r="E150" s="197" t="str">
        <f>IF(Dades!C740="","",Dades!C740)</f>
        <v/>
      </c>
      <c r="F150" s="396">
        <f>(DSUM('1_Combustibles fòssils'!$E$17:$N$39,"emisiones",'6.2_Resultats Espanya'!E$71:E150)/1000)-SUM(F$72:F149)</f>
        <v>0</v>
      </c>
      <c r="G150" s="396">
        <f>(DSUM('2_Fluorats'!$E$11:$P$33,"emisiones",'6.2_Resultats Espanya'!E$71:E150)/1000)-SUM(G$72:G149)</f>
        <v>0</v>
      </c>
      <c r="H150" s="507">
        <f>(DSUM('3_Emissions processos'!$E$13:$L$35,"emisiones",'6.2_Resultats Espanya'!E$71:E150)/1000)-SUM(H$72:H149)</f>
        <v>0</v>
      </c>
      <c r="I150" s="507"/>
      <c r="J150" s="508">
        <f t="shared" si="4"/>
        <v>0</v>
      </c>
      <c r="K150" s="508"/>
      <c r="L150" s="508"/>
      <c r="M150" s="508"/>
      <c r="N150" s="507">
        <f>(DSUM('4.2_Electricitat Espanya'!$E$19:$J$41,"emisiones",'6.2_Resultats Espanya'!E$71:E150)/1000)-SUM(N$72:N149)</f>
        <v>0</v>
      </c>
      <c r="O150" s="507"/>
      <c r="P150" s="508">
        <f t="shared" si="5"/>
        <v>0</v>
      </c>
      <c r="Q150" s="508"/>
      <c r="R150" s="508"/>
      <c r="S150" s="400"/>
      <c r="T150" s="400"/>
      <c r="U150" s="400"/>
    </row>
    <row r="151" spans="5:21" x14ac:dyDescent="0.3">
      <c r="E151" s="197" t="str">
        <f>IF(Dades!C741="","",Dades!C741)</f>
        <v/>
      </c>
      <c r="F151" s="396">
        <f>(DSUM('1_Combustibles fòssils'!$E$17:$N$39,"emisiones",'6.2_Resultats Espanya'!E$71:E151)/1000)-SUM(F$72:F150)</f>
        <v>0</v>
      </c>
      <c r="G151" s="396">
        <f>(DSUM('2_Fluorats'!$E$11:$P$33,"emisiones",'6.2_Resultats Espanya'!E$71:E151)/1000)-SUM(G$72:G150)</f>
        <v>0</v>
      </c>
      <c r="H151" s="507">
        <f>(DSUM('3_Emissions processos'!$E$13:$L$35,"emisiones",'6.2_Resultats Espanya'!E$71:E151)/1000)-SUM(H$72:H150)</f>
        <v>0</v>
      </c>
      <c r="I151" s="507"/>
      <c r="J151" s="508">
        <f t="shared" si="4"/>
        <v>0</v>
      </c>
      <c r="K151" s="508"/>
      <c r="L151" s="508"/>
      <c r="M151" s="508"/>
      <c r="N151" s="507">
        <f>(DSUM('4.2_Electricitat Espanya'!$E$19:$J$41,"emisiones",'6.2_Resultats Espanya'!E$71:E151)/1000)-SUM(N$72:N150)</f>
        <v>0</v>
      </c>
      <c r="O151" s="507"/>
      <c r="P151" s="508">
        <f t="shared" si="5"/>
        <v>0</v>
      </c>
      <c r="Q151" s="508"/>
      <c r="R151" s="508"/>
      <c r="S151" s="400"/>
      <c r="T151" s="400"/>
      <c r="U151" s="400"/>
    </row>
    <row r="152" spans="5:21" x14ac:dyDescent="0.3">
      <c r="E152" s="197" t="str">
        <f>IF(Dades!C742="","",Dades!C742)</f>
        <v/>
      </c>
      <c r="F152" s="396">
        <f>(DSUM('1_Combustibles fòssils'!$E$17:$N$39,"emisiones",'6.2_Resultats Espanya'!E$71:E152)/1000)-SUM(F$72:F151)</f>
        <v>0</v>
      </c>
      <c r="G152" s="396">
        <f>(DSUM('2_Fluorats'!$E$11:$P$33,"emisiones",'6.2_Resultats Espanya'!E$71:E152)/1000)-SUM(G$72:G151)</f>
        <v>0</v>
      </c>
      <c r="H152" s="507">
        <f>(DSUM('3_Emissions processos'!$E$13:$L$35,"emisiones",'6.2_Resultats Espanya'!E$71:E152)/1000)-SUM(H$72:H151)</f>
        <v>0</v>
      </c>
      <c r="I152" s="507"/>
      <c r="J152" s="508">
        <f t="shared" si="4"/>
        <v>0</v>
      </c>
      <c r="K152" s="508"/>
      <c r="L152" s="508"/>
      <c r="M152" s="508"/>
      <c r="N152" s="507">
        <f>(DSUM('4.2_Electricitat Espanya'!$E$19:$J$41,"emisiones",'6.2_Resultats Espanya'!E$71:E152)/1000)-SUM(N$72:N151)</f>
        <v>0</v>
      </c>
      <c r="O152" s="507"/>
      <c r="P152" s="508">
        <f t="shared" si="5"/>
        <v>0</v>
      </c>
      <c r="Q152" s="508"/>
      <c r="R152" s="508"/>
      <c r="S152" s="400"/>
      <c r="T152" s="400"/>
      <c r="U152" s="400"/>
    </row>
    <row r="153" spans="5:21" x14ac:dyDescent="0.3">
      <c r="E153" s="197" t="str">
        <f>IF(Dades!C743="","",Dades!C743)</f>
        <v/>
      </c>
      <c r="F153" s="396">
        <f>(DSUM('1_Combustibles fòssils'!$E$17:$N$39,"emisiones",'6.2_Resultats Espanya'!E$71:E153)/1000)-SUM(F$72:F152)</f>
        <v>0</v>
      </c>
      <c r="G153" s="396">
        <f>(DSUM('2_Fluorats'!$E$11:$P$33,"emisiones",'6.2_Resultats Espanya'!E$71:E153)/1000)-SUM(G$72:G152)</f>
        <v>0</v>
      </c>
      <c r="H153" s="507">
        <f>(DSUM('3_Emissions processos'!$E$13:$L$35,"emisiones",'6.2_Resultats Espanya'!E$71:E153)/1000)-SUM(H$72:H152)</f>
        <v>0</v>
      </c>
      <c r="I153" s="507"/>
      <c r="J153" s="508">
        <f t="shared" si="4"/>
        <v>0</v>
      </c>
      <c r="K153" s="508"/>
      <c r="L153" s="508"/>
      <c r="M153" s="508"/>
      <c r="N153" s="507">
        <f>(DSUM('4.2_Electricitat Espanya'!$E$19:$J$41,"emisiones",'6.2_Resultats Espanya'!E$71:E153)/1000)-SUM(N$72:N152)</f>
        <v>0</v>
      </c>
      <c r="O153" s="507"/>
      <c r="P153" s="508">
        <f t="shared" si="5"/>
        <v>0</v>
      </c>
      <c r="Q153" s="508"/>
      <c r="R153" s="508"/>
      <c r="S153" s="400"/>
      <c r="T153" s="400"/>
      <c r="U153" s="400"/>
    </row>
    <row r="154" spans="5:21" x14ac:dyDescent="0.3">
      <c r="E154" s="197" t="str">
        <f>IF(Dades!C744="","",Dades!C744)</f>
        <v/>
      </c>
      <c r="F154" s="396">
        <f>(DSUM('1_Combustibles fòssils'!$E$17:$N$39,"emisiones",'6.2_Resultats Espanya'!E$71:E154)/1000)-SUM(F$72:F153)</f>
        <v>0</v>
      </c>
      <c r="G154" s="396">
        <f>(DSUM('2_Fluorats'!$E$11:$P$33,"emisiones",'6.2_Resultats Espanya'!E$71:E154)/1000)-SUM(G$72:G153)</f>
        <v>0</v>
      </c>
      <c r="H154" s="507">
        <f>(DSUM('3_Emissions processos'!$E$13:$L$35,"emisiones",'6.2_Resultats Espanya'!E$71:E154)/1000)-SUM(H$72:H153)</f>
        <v>0</v>
      </c>
      <c r="I154" s="507"/>
      <c r="J154" s="508">
        <f t="shared" si="4"/>
        <v>0</v>
      </c>
      <c r="K154" s="508"/>
      <c r="L154" s="508"/>
      <c r="M154" s="508"/>
      <c r="N154" s="507">
        <f>(DSUM('4.2_Electricitat Espanya'!$E$19:$J$41,"emisiones",'6.2_Resultats Espanya'!E$71:E154)/1000)-SUM(N$72:N153)</f>
        <v>0</v>
      </c>
      <c r="O154" s="507"/>
      <c r="P154" s="508">
        <f t="shared" si="5"/>
        <v>0</v>
      </c>
      <c r="Q154" s="508"/>
      <c r="R154" s="508"/>
      <c r="S154" s="400"/>
      <c r="T154" s="400"/>
      <c r="U154" s="400"/>
    </row>
    <row r="155" spans="5:21" x14ac:dyDescent="0.3">
      <c r="E155" s="197" t="str">
        <f>IF(Dades!C745="","",Dades!C745)</f>
        <v/>
      </c>
      <c r="F155" s="396">
        <f>(DSUM('1_Combustibles fòssils'!$E$17:$N$39,"emisiones",'6.2_Resultats Espanya'!E$71:E155)/1000)-SUM(F$72:F154)</f>
        <v>0</v>
      </c>
      <c r="G155" s="396">
        <f>(DSUM('2_Fluorats'!$E$11:$P$33,"emisiones",'6.2_Resultats Espanya'!E$71:E155)/1000)-SUM(G$72:G154)</f>
        <v>0</v>
      </c>
      <c r="H155" s="507">
        <f>(DSUM('3_Emissions processos'!$E$13:$L$35,"emisiones",'6.2_Resultats Espanya'!E$71:E155)/1000)-SUM(H$72:H154)</f>
        <v>0</v>
      </c>
      <c r="I155" s="507"/>
      <c r="J155" s="508">
        <f t="shared" si="4"/>
        <v>0</v>
      </c>
      <c r="K155" s="508"/>
      <c r="L155" s="508"/>
      <c r="M155" s="508"/>
      <c r="N155" s="507">
        <f>(DSUM('4.2_Electricitat Espanya'!$E$19:$J$41,"emisiones",'6.2_Resultats Espanya'!E$71:E155)/1000)-SUM(N$72:N154)</f>
        <v>0</v>
      </c>
      <c r="O155" s="507"/>
      <c r="P155" s="508">
        <f t="shared" si="5"/>
        <v>0</v>
      </c>
      <c r="Q155" s="508"/>
      <c r="R155" s="508"/>
      <c r="S155" s="400"/>
      <c r="T155" s="400"/>
      <c r="U155" s="400"/>
    </row>
    <row r="156" spans="5:21" x14ac:dyDescent="0.3">
      <c r="E156" s="197" t="str">
        <f>IF(Dades!C746="","",Dades!C746)</f>
        <v/>
      </c>
      <c r="F156" s="396">
        <f>(DSUM('1_Combustibles fòssils'!$E$17:$N$39,"emisiones",'6.2_Resultats Espanya'!E$71:E156)/1000)-SUM(F$72:F155)</f>
        <v>0</v>
      </c>
      <c r="G156" s="396">
        <f>(DSUM('2_Fluorats'!$E$11:$P$33,"emisiones",'6.2_Resultats Espanya'!E$71:E156)/1000)-SUM(G$72:G155)</f>
        <v>0</v>
      </c>
      <c r="H156" s="507">
        <f>(DSUM('3_Emissions processos'!$E$13:$L$35,"emisiones",'6.2_Resultats Espanya'!E$71:E156)/1000)-SUM(H$72:H155)</f>
        <v>0</v>
      </c>
      <c r="I156" s="507"/>
      <c r="J156" s="508">
        <f t="shared" si="4"/>
        <v>0</v>
      </c>
      <c r="K156" s="508"/>
      <c r="L156" s="508"/>
      <c r="M156" s="508"/>
      <c r="N156" s="507">
        <f>(DSUM('4.2_Electricitat Espanya'!$E$19:$J$41,"emisiones",'6.2_Resultats Espanya'!E$71:E156)/1000)-SUM(N$72:N155)</f>
        <v>0</v>
      </c>
      <c r="O156" s="507"/>
      <c r="P156" s="508">
        <f t="shared" si="5"/>
        <v>0</v>
      </c>
      <c r="Q156" s="508"/>
      <c r="R156" s="508"/>
      <c r="S156" s="400"/>
      <c r="T156" s="400"/>
      <c r="U156" s="400"/>
    </row>
    <row r="157" spans="5:21" x14ac:dyDescent="0.3">
      <c r="E157" s="197" t="str">
        <f>IF(Dades!C747="","",Dades!C747)</f>
        <v/>
      </c>
      <c r="F157" s="396">
        <f>(DSUM('1_Combustibles fòssils'!$E$17:$N$39,"emisiones",'6.2_Resultats Espanya'!E$71:E157)/1000)-SUM(F$72:F156)</f>
        <v>0</v>
      </c>
      <c r="G157" s="396">
        <f>(DSUM('2_Fluorats'!$E$11:$P$33,"emisiones",'6.2_Resultats Espanya'!E$71:E157)/1000)-SUM(G$72:G156)</f>
        <v>0</v>
      </c>
      <c r="H157" s="507">
        <f>(DSUM('3_Emissions processos'!$E$13:$L$35,"emisiones",'6.2_Resultats Espanya'!E$71:E157)/1000)-SUM(H$72:H156)</f>
        <v>0</v>
      </c>
      <c r="I157" s="507"/>
      <c r="J157" s="508">
        <f t="shared" si="4"/>
        <v>0</v>
      </c>
      <c r="K157" s="508"/>
      <c r="L157" s="508"/>
      <c r="M157" s="508"/>
      <c r="N157" s="507">
        <f>(DSUM('4.2_Electricitat Espanya'!$E$19:$J$41,"emisiones",'6.2_Resultats Espanya'!E$71:E157)/1000)-SUM(N$72:N156)</f>
        <v>0</v>
      </c>
      <c r="O157" s="507"/>
      <c r="P157" s="508">
        <f t="shared" si="5"/>
        <v>0</v>
      </c>
      <c r="Q157" s="508"/>
      <c r="R157" s="508"/>
      <c r="S157" s="400"/>
      <c r="T157" s="400"/>
      <c r="U157" s="400"/>
    </row>
    <row r="158" spans="5:21" x14ac:dyDescent="0.3">
      <c r="E158" s="197" t="str">
        <f>IF(Dades!C748="","",Dades!C748)</f>
        <v/>
      </c>
      <c r="F158" s="396">
        <f>(DSUM('1_Combustibles fòssils'!$E$17:$N$39,"emisiones",'6.2_Resultats Espanya'!E$71:E158)/1000)-SUM(F$72:F157)</f>
        <v>0</v>
      </c>
      <c r="G158" s="396">
        <f>(DSUM('2_Fluorats'!$E$11:$P$33,"emisiones",'6.2_Resultats Espanya'!E$71:E158)/1000)-SUM(G$72:G157)</f>
        <v>0</v>
      </c>
      <c r="H158" s="507">
        <f>(DSUM('3_Emissions processos'!$E$13:$L$35,"emisiones",'6.2_Resultats Espanya'!E$71:E158)/1000)-SUM(H$72:H157)</f>
        <v>0</v>
      </c>
      <c r="I158" s="507"/>
      <c r="J158" s="508">
        <f t="shared" si="4"/>
        <v>0</v>
      </c>
      <c r="K158" s="508"/>
      <c r="L158" s="508"/>
      <c r="M158" s="508"/>
      <c r="N158" s="507">
        <f>(DSUM('4.2_Electricitat Espanya'!$E$19:$J$41,"emisiones",'6.2_Resultats Espanya'!E$71:E158)/1000)-SUM(N$72:N157)</f>
        <v>0</v>
      </c>
      <c r="O158" s="507"/>
      <c r="P158" s="508">
        <f t="shared" si="5"/>
        <v>0</v>
      </c>
      <c r="Q158" s="508"/>
      <c r="R158" s="508"/>
      <c r="S158" s="400"/>
      <c r="T158" s="400"/>
      <c r="U158" s="400"/>
    </row>
    <row r="159" spans="5:21" x14ac:dyDescent="0.3">
      <c r="E159" s="197" t="str">
        <f>IF(Dades!C749="","",Dades!C749)</f>
        <v/>
      </c>
      <c r="F159" s="396">
        <f>(DSUM('1_Combustibles fòssils'!$E$17:$N$39,"emisiones",'6.2_Resultats Espanya'!E$71:E159)/1000)-SUM(F$72:F158)</f>
        <v>0</v>
      </c>
      <c r="G159" s="396">
        <f>(DSUM('2_Fluorats'!$E$11:$P$33,"emisiones",'6.2_Resultats Espanya'!E$71:E159)/1000)-SUM(G$72:G158)</f>
        <v>0</v>
      </c>
      <c r="H159" s="507">
        <f>(DSUM('3_Emissions processos'!$E$13:$L$35,"emisiones",'6.2_Resultats Espanya'!E$71:E159)/1000)-SUM(H$72:H158)</f>
        <v>0</v>
      </c>
      <c r="I159" s="507"/>
      <c r="J159" s="508">
        <f t="shared" si="4"/>
        <v>0</v>
      </c>
      <c r="K159" s="508"/>
      <c r="L159" s="508"/>
      <c r="M159" s="508"/>
      <c r="N159" s="507">
        <f>(DSUM('4.2_Electricitat Espanya'!$E$19:$J$41,"emisiones",'6.2_Resultats Espanya'!E$71:E159)/1000)-SUM(N$72:N158)</f>
        <v>0</v>
      </c>
      <c r="O159" s="507"/>
      <c r="P159" s="508">
        <f t="shared" si="5"/>
        <v>0</v>
      </c>
      <c r="Q159" s="508"/>
      <c r="R159" s="508"/>
      <c r="S159" s="400"/>
      <c r="T159" s="400"/>
      <c r="U159" s="400"/>
    </row>
    <row r="160" spans="5:21" x14ac:dyDescent="0.3">
      <c r="E160" s="197" t="str">
        <f>IF(Dades!C750="","",Dades!C750)</f>
        <v/>
      </c>
      <c r="F160" s="396">
        <f>(DSUM('1_Combustibles fòssils'!$E$17:$N$39,"emisiones",'6.2_Resultats Espanya'!E$71:E160)/1000)-SUM(F$72:F159)</f>
        <v>0</v>
      </c>
      <c r="G160" s="396">
        <f>(DSUM('2_Fluorats'!$E$11:$P$33,"emisiones",'6.2_Resultats Espanya'!E$71:E160)/1000)-SUM(G$72:G159)</f>
        <v>0</v>
      </c>
      <c r="H160" s="507">
        <f>(DSUM('3_Emissions processos'!$E$13:$L$35,"emisiones",'6.2_Resultats Espanya'!E$71:E160)/1000)-SUM(H$72:H159)</f>
        <v>0</v>
      </c>
      <c r="I160" s="507"/>
      <c r="J160" s="508">
        <f t="shared" si="4"/>
        <v>0</v>
      </c>
      <c r="K160" s="508"/>
      <c r="L160" s="508"/>
      <c r="M160" s="508"/>
      <c r="N160" s="507">
        <f>(DSUM('4.2_Electricitat Espanya'!$E$19:$J$41,"emisiones",'6.2_Resultats Espanya'!E$71:E160)/1000)-SUM(N$72:N159)</f>
        <v>0</v>
      </c>
      <c r="O160" s="507"/>
      <c r="P160" s="508">
        <f t="shared" si="5"/>
        <v>0</v>
      </c>
      <c r="Q160" s="508"/>
      <c r="R160" s="508"/>
      <c r="S160" s="400"/>
      <c r="T160" s="400"/>
      <c r="U160" s="400"/>
    </row>
    <row r="161" spans="5:21" x14ac:dyDescent="0.3">
      <c r="E161" s="197" t="str">
        <f>IF(Dades!C751="","",Dades!C751)</f>
        <v/>
      </c>
      <c r="F161" s="396">
        <f>(DSUM('1_Combustibles fòssils'!$E$17:$N$39,"emisiones",'6.2_Resultats Espanya'!E$71:E161)/1000)-SUM(F$72:F160)</f>
        <v>0</v>
      </c>
      <c r="G161" s="396">
        <f>(DSUM('2_Fluorats'!$E$11:$P$33,"emisiones",'6.2_Resultats Espanya'!E$71:E161)/1000)-SUM(G$72:G160)</f>
        <v>0</v>
      </c>
      <c r="H161" s="507">
        <f>(DSUM('3_Emissions processos'!$E$13:$L$35,"emisiones",'6.2_Resultats Espanya'!E$71:E161)/1000)-SUM(H$72:H160)</f>
        <v>0</v>
      </c>
      <c r="I161" s="507"/>
      <c r="J161" s="508">
        <f t="shared" si="4"/>
        <v>0</v>
      </c>
      <c r="K161" s="508"/>
      <c r="L161" s="508"/>
      <c r="M161" s="508"/>
      <c r="N161" s="507">
        <f>(DSUM('4.2_Electricitat Espanya'!$E$19:$J$41,"emisiones",'6.2_Resultats Espanya'!E$71:E161)/1000)-SUM(N$72:N160)</f>
        <v>0</v>
      </c>
      <c r="O161" s="507"/>
      <c r="P161" s="508">
        <f t="shared" si="5"/>
        <v>0</v>
      </c>
      <c r="Q161" s="508"/>
      <c r="R161" s="508"/>
      <c r="S161" s="400"/>
      <c r="T161" s="400"/>
      <c r="U161" s="400"/>
    </row>
    <row r="162" spans="5:21" x14ac:dyDescent="0.3">
      <c r="E162" s="197" t="str">
        <f>IF(Dades!C752="","",Dades!C752)</f>
        <v/>
      </c>
      <c r="F162" s="396">
        <f>(DSUM('1_Combustibles fòssils'!$E$17:$N$39,"emisiones",'6.2_Resultats Espanya'!E$71:E162)/1000)-SUM(F$72:F161)</f>
        <v>0</v>
      </c>
      <c r="G162" s="396">
        <f>(DSUM('2_Fluorats'!$E$11:$P$33,"emisiones",'6.2_Resultats Espanya'!E$71:E162)/1000)-SUM(G$72:G161)</f>
        <v>0</v>
      </c>
      <c r="H162" s="507">
        <f>(DSUM('3_Emissions processos'!$E$13:$L$35,"emisiones",'6.2_Resultats Espanya'!E$71:E162)/1000)-SUM(H$72:H161)</f>
        <v>0</v>
      </c>
      <c r="I162" s="507"/>
      <c r="J162" s="508">
        <f t="shared" si="4"/>
        <v>0</v>
      </c>
      <c r="K162" s="508"/>
      <c r="L162" s="508"/>
      <c r="M162" s="508"/>
      <c r="N162" s="507">
        <f>(DSUM('4.2_Electricitat Espanya'!$E$19:$J$41,"emisiones",'6.2_Resultats Espanya'!E$71:E162)/1000)-SUM(N$72:N161)</f>
        <v>0</v>
      </c>
      <c r="O162" s="507"/>
      <c r="P162" s="508">
        <f t="shared" si="5"/>
        <v>0</v>
      </c>
      <c r="Q162" s="508"/>
      <c r="R162" s="508"/>
      <c r="S162" s="400"/>
      <c r="T162" s="400"/>
      <c r="U162" s="400"/>
    </row>
    <row r="163" spans="5:21" x14ac:dyDescent="0.3">
      <c r="E163" s="197" t="str">
        <f>IF(Dades!C753="","",Dades!C753)</f>
        <v/>
      </c>
      <c r="F163" s="396">
        <f>(DSUM('1_Combustibles fòssils'!$E$17:$N$39,"emisiones",'6.2_Resultats Espanya'!E$71:E163)/1000)-SUM(F$72:F162)</f>
        <v>0</v>
      </c>
      <c r="G163" s="396">
        <f>(DSUM('2_Fluorats'!$E$11:$P$33,"emisiones",'6.2_Resultats Espanya'!E$71:E163)/1000)-SUM(G$72:G162)</f>
        <v>0</v>
      </c>
      <c r="H163" s="507">
        <f>(DSUM('3_Emissions processos'!$E$13:$L$35,"emisiones",'6.2_Resultats Espanya'!E$71:E163)/1000)-SUM(H$72:H162)</f>
        <v>0</v>
      </c>
      <c r="I163" s="507"/>
      <c r="J163" s="508">
        <f t="shared" si="4"/>
        <v>0</v>
      </c>
      <c r="K163" s="508"/>
      <c r="L163" s="508"/>
      <c r="M163" s="508"/>
      <c r="N163" s="507">
        <f>(DSUM('4.2_Electricitat Espanya'!$E$19:$J$41,"emisiones",'6.2_Resultats Espanya'!E$71:E163)/1000)-SUM(N$72:N162)</f>
        <v>0</v>
      </c>
      <c r="O163" s="507"/>
      <c r="P163" s="508">
        <f t="shared" si="5"/>
        <v>0</v>
      </c>
      <c r="Q163" s="508"/>
      <c r="R163" s="508"/>
      <c r="S163" s="400"/>
      <c r="T163" s="400"/>
      <c r="U163" s="400"/>
    </row>
    <row r="164" spans="5:21" x14ac:dyDescent="0.3">
      <c r="E164" s="197" t="str">
        <f>IF(Dades!C754="","",Dades!C754)</f>
        <v/>
      </c>
      <c r="F164" s="396">
        <f>(DSUM('1_Combustibles fòssils'!$E$17:$N$39,"emisiones",'6.2_Resultats Espanya'!E$71:E164)/1000)-SUM(F$72:F163)</f>
        <v>0</v>
      </c>
      <c r="G164" s="396">
        <f>(DSUM('2_Fluorats'!$E$11:$P$33,"emisiones",'6.2_Resultats Espanya'!E$71:E164)/1000)-SUM(G$72:G163)</f>
        <v>0</v>
      </c>
      <c r="H164" s="507">
        <f>(DSUM('3_Emissions processos'!$E$13:$L$35,"emisiones",'6.2_Resultats Espanya'!E$71:E164)/1000)-SUM(H$72:H163)</f>
        <v>0</v>
      </c>
      <c r="I164" s="507"/>
      <c r="J164" s="508">
        <f t="shared" si="4"/>
        <v>0</v>
      </c>
      <c r="K164" s="508"/>
      <c r="L164" s="508"/>
      <c r="M164" s="508"/>
      <c r="N164" s="507">
        <f>(DSUM('4.2_Electricitat Espanya'!$E$19:$J$41,"emisiones",'6.2_Resultats Espanya'!E$71:E164)/1000)-SUM(N$72:N163)</f>
        <v>0</v>
      </c>
      <c r="O164" s="507"/>
      <c r="P164" s="508">
        <f t="shared" si="5"/>
        <v>0</v>
      </c>
      <c r="Q164" s="508"/>
      <c r="R164" s="508"/>
      <c r="S164" s="400"/>
      <c r="T164" s="400"/>
      <c r="U164" s="400"/>
    </row>
    <row r="165" spans="5:21" x14ac:dyDescent="0.3">
      <c r="E165" s="197" t="str">
        <f>IF(Dades!C755="","",Dades!C755)</f>
        <v/>
      </c>
      <c r="F165" s="396">
        <f>(DSUM('1_Combustibles fòssils'!$E$17:$N$39,"emisiones",'6.2_Resultats Espanya'!E$71:E165)/1000)-SUM(F$72:F164)</f>
        <v>0</v>
      </c>
      <c r="G165" s="396">
        <f>(DSUM('2_Fluorats'!$E$11:$P$33,"emisiones",'6.2_Resultats Espanya'!E$71:E165)/1000)-SUM(G$72:G164)</f>
        <v>0</v>
      </c>
      <c r="H165" s="507">
        <f>(DSUM('3_Emissions processos'!$E$13:$L$35,"emisiones",'6.2_Resultats Espanya'!E$71:E165)/1000)-SUM(H$72:H164)</f>
        <v>0</v>
      </c>
      <c r="I165" s="507"/>
      <c r="J165" s="508">
        <f t="shared" si="4"/>
        <v>0</v>
      </c>
      <c r="K165" s="508"/>
      <c r="L165" s="508"/>
      <c r="M165" s="508"/>
      <c r="N165" s="507">
        <f>(DSUM('4.2_Electricitat Espanya'!$E$19:$J$41,"emisiones",'6.2_Resultats Espanya'!E$71:E165)/1000)-SUM(N$72:N164)</f>
        <v>0</v>
      </c>
      <c r="O165" s="507"/>
      <c r="P165" s="508">
        <f t="shared" si="5"/>
        <v>0</v>
      </c>
      <c r="Q165" s="508"/>
      <c r="R165" s="508"/>
      <c r="S165" s="400"/>
      <c r="T165" s="400"/>
      <c r="U165" s="400"/>
    </row>
    <row r="166" spans="5:21" x14ac:dyDescent="0.3">
      <c r="E166" s="197" t="str">
        <f>IF(Dades!C756="","",Dades!C756)</f>
        <v/>
      </c>
      <c r="F166" s="396">
        <f>(DSUM('1_Combustibles fòssils'!$E$17:$N$39,"emisiones",'6.2_Resultats Espanya'!E$71:E166)/1000)-SUM(F$72:F165)</f>
        <v>0</v>
      </c>
      <c r="G166" s="396">
        <f>(DSUM('2_Fluorats'!$E$11:$P$33,"emisiones",'6.2_Resultats Espanya'!E$71:E166)/1000)-SUM(G$72:G165)</f>
        <v>0</v>
      </c>
      <c r="H166" s="507">
        <f>(DSUM('3_Emissions processos'!$E$13:$L$35,"emisiones",'6.2_Resultats Espanya'!E$71:E166)/1000)-SUM(H$72:H165)</f>
        <v>0</v>
      </c>
      <c r="I166" s="507"/>
      <c r="J166" s="508">
        <f t="shared" si="4"/>
        <v>0</v>
      </c>
      <c r="K166" s="508"/>
      <c r="L166" s="508"/>
      <c r="M166" s="508"/>
      <c r="N166" s="507">
        <f>(DSUM('4.2_Electricitat Espanya'!$E$19:$J$41,"emisiones",'6.2_Resultats Espanya'!E$71:E166)/1000)-SUM(N$72:N165)</f>
        <v>0</v>
      </c>
      <c r="O166" s="507"/>
      <c r="P166" s="508">
        <f t="shared" si="5"/>
        <v>0</v>
      </c>
      <c r="Q166" s="508"/>
      <c r="R166" s="508"/>
      <c r="S166" s="400"/>
      <c r="T166" s="400"/>
      <c r="U166" s="400"/>
    </row>
    <row r="167" spans="5:21" x14ac:dyDescent="0.3">
      <c r="E167" s="197" t="str">
        <f>IF(Dades!C757="","",Dades!C757)</f>
        <v/>
      </c>
      <c r="F167" s="396">
        <f>(DSUM('1_Combustibles fòssils'!$E$17:$N$39,"emisiones",'6.2_Resultats Espanya'!E$71:E167)/1000)-SUM(F$72:F166)</f>
        <v>0</v>
      </c>
      <c r="G167" s="396">
        <f>(DSUM('2_Fluorats'!$E$11:$P$33,"emisiones",'6.2_Resultats Espanya'!E$71:E167)/1000)-SUM(G$72:G166)</f>
        <v>0</v>
      </c>
      <c r="H167" s="507">
        <f>(DSUM('3_Emissions processos'!$E$13:$L$35,"emisiones",'6.2_Resultats Espanya'!E$71:E167)/1000)-SUM(H$72:H166)</f>
        <v>0</v>
      </c>
      <c r="I167" s="507"/>
      <c r="J167" s="508">
        <f t="shared" si="4"/>
        <v>0</v>
      </c>
      <c r="K167" s="508"/>
      <c r="L167" s="508"/>
      <c r="M167" s="508"/>
      <c r="N167" s="507">
        <f>(DSUM('4.2_Electricitat Espanya'!$E$19:$J$41,"emisiones",'6.2_Resultats Espanya'!E$71:E167)/1000)-SUM(N$72:N166)</f>
        <v>0</v>
      </c>
      <c r="O167" s="507"/>
      <c r="P167" s="508">
        <f t="shared" si="5"/>
        <v>0</v>
      </c>
      <c r="Q167" s="508"/>
      <c r="R167" s="508"/>
      <c r="S167" s="400"/>
      <c r="T167" s="400"/>
      <c r="U167" s="400"/>
    </row>
    <row r="168" spans="5:21" x14ac:dyDescent="0.3">
      <c r="E168" s="197" t="str">
        <f>IF(Dades!C758="","",Dades!C758)</f>
        <v/>
      </c>
      <c r="F168" s="396">
        <f>(DSUM('1_Combustibles fòssils'!$E$17:$N$39,"emisiones",'6.2_Resultats Espanya'!E$71:E168)/1000)-SUM(F$72:F167)</f>
        <v>0</v>
      </c>
      <c r="G168" s="396">
        <f>(DSUM('2_Fluorats'!$E$11:$P$33,"emisiones",'6.2_Resultats Espanya'!E$71:E168)/1000)-SUM(G$72:G167)</f>
        <v>0</v>
      </c>
      <c r="H168" s="507">
        <f>(DSUM('3_Emissions processos'!$E$13:$L$35,"emisiones",'6.2_Resultats Espanya'!E$71:E168)/1000)-SUM(H$72:H167)</f>
        <v>0</v>
      </c>
      <c r="I168" s="507"/>
      <c r="J168" s="508">
        <f t="shared" si="4"/>
        <v>0</v>
      </c>
      <c r="K168" s="508"/>
      <c r="L168" s="508"/>
      <c r="M168" s="508"/>
      <c r="N168" s="507">
        <f>(DSUM('4.2_Electricitat Espanya'!$E$19:$J$41,"emisiones",'6.2_Resultats Espanya'!E$71:E168)/1000)-SUM(N$72:N167)</f>
        <v>0</v>
      </c>
      <c r="O168" s="507"/>
      <c r="P168" s="508">
        <f t="shared" si="5"/>
        <v>0</v>
      </c>
      <c r="Q168" s="508"/>
      <c r="R168" s="508"/>
      <c r="S168" s="400"/>
      <c r="T168" s="400"/>
      <c r="U168" s="400"/>
    </row>
    <row r="169" spans="5:21" x14ac:dyDescent="0.3">
      <c r="E169" s="197" t="str">
        <f>IF(Dades!C759="","",Dades!C759)</f>
        <v/>
      </c>
      <c r="F169" s="396">
        <f>(DSUM('1_Combustibles fòssils'!$E$17:$N$39,"emisiones",'6.2_Resultats Espanya'!E$71:E169)/1000)-SUM(F$72:F168)</f>
        <v>0</v>
      </c>
      <c r="G169" s="396">
        <f>(DSUM('2_Fluorats'!$E$11:$P$33,"emisiones",'6.2_Resultats Espanya'!E$71:E169)/1000)-SUM(G$72:G168)</f>
        <v>0</v>
      </c>
      <c r="H169" s="507">
        <f>(DSUM('3_Emissions processos'!$E$13:$L$35,"emisiones",'6.2_Resultats Espanya'!E$71:E169)/1000)-SUM(H$72:H168)</f>
        <v>0</v>
      </c>
      <c r="I169" s="507"/>
      <c r="J169" s="508">
        <f t="shared" si="4"/>
        <v>0</v>
      </c>
      <c r="K169" s="508"/>
      <c r="L169" s="508"/>
      <c r="M169" s="508"/>
      <c r="N169" s="507">
        <f>(DSUM('4.2_Electricitat Espanya'!$E$19:$J$41,"emisiones",'6.2_Resultats Espanya'!E$71:E169)/1000)-SUM(N$72:N168)</f>
        <v>0</v>
      </c>
      <c r="O169" s="507"/>
      <c r="P169" s="508">
        <f t="shared" si="5"/>
        <v>0</v>
      </c>
      <c r="Q169" s="508"/>
      <c r="R169" s="508"/>
      <c r="S169" s="400"/>
      <c r="T169" s="400"/>
      <c r="U169" s="400"/>
    </row>
    <row r="170" spans="5:21" x14ac:dyDescent="0.3">
      <c r="E170" s="197" t="str">
        <f>IF(Dades!C760="","",Dades!C760)</f>
        <v/>
      </c>
      <c r="F170" s="396">
        <f>(DSUM('1_Combustibles fòssils'!$E$17:$N$39,"emisiones",'6.2_Resultats Espanya'!E$71:E170)/1000)-SUM(F$72:F169)</f>
        <v>0</v>
      </c>
      <c r="G170" s="396">
        <f>(DSUM('2_Fluorats'!$E$11:$P$33,"emisiones",'6.2_Resultats Espanya'!E$71:E170)/1000)-SUM(G$72:G169)</f>
        <v>0</v>
      </c>
      <c r="H170" s="507">
        <f>(DSUM('3_Emissions processos'!$E$13:$L$35,"emisiones",'6.2_Resultats Espanya'!E$71:E170)/1000)-SUM(H$72:H169)</f>
        <v>0</v>
      </c>
      <c r="I170" s="507"/>
      <c r="J170" s="508">
        <f t="shared" si="4"/>
        <v>0</v>
      </c>
      <c r="K170" s="508"/>
      <c r="L170" s="508"/>
      <c r="M170" s="508"/>
      <c r="N170" s="507">
        <f>(DSUM('4.2_Electricitat Espanya'!$E$19:$J$41,"emisiones",'6.2_Resultats Espanya'!E$71:E170)/1000)-SUM(N$72:N169)</f>
        <v>0</v>
      </c>
      <c r="O170" s="507"/>
      <c r="P170" s="508">
        <f t="shared" si="5"/>
        <v>0</v>
      </c>
      <c r="Q170" s="508"/>
      <c r="R170" s="508"/>
      <c r="S170" s="400"/>
      <c r="T170" s="400"/>
      <c r="U170" s="400"/>
    </row>
    <row r="171" spans="5:21" x14ac:dyDescent="0.3">
      <c r="E171" s="197" t="str">
        <f>IF(Dades!C761="","",Dades!C761)</f>
        <v/>
      </c>
      <c r="F171" s="396">
        <f>(DSUM('1_Combustibles fòssils'!$E$17:$N$39,"emisiones",'6.2_Resultats Espanya'!E$71:E171)/1000)-SUM(F$72:F170)</f>
        <v>0</v>
      </c>
      <c r="G171" s="396">
        <f>(DSUM('2_Fluorats'!$E$11:$P$33,"emisiones",'6.2_Resultats Espanya'!E$71:E171)/1000)-SUM(G$72:G170)</f>
        <v>0</v>
      </c>
      <c r="H171" s="507">
        <f>(DSUM('3_Emissions processos'!$E$13:$L$35,"emisiones",'6.2_Resultats Espanya'!E$71:E171)/1000)-SUM(H$72:H170)</f>
        <v>0</v>
      </c>
      <c r="I171" s="507"/>
      <c r="J171" s="508">
        <f t="shared" si="4"/>
        <v>0</v>
      </c>
      <c r="K171" s="508"/>
      <c r="L171" s="508"/>
      <c r="M171" s="508"/>
      <c r="N171" s="507">
        <f>(DSUM('4.2_Electricitat Espanya'!$E$19:$J$41,"emisiones",'6.2_Resultats Espanya'!E$71:E171)/1000)-SUM(N$72:N170)</f>
        <v>0</v>
      </c>
      <c r="O171" s="507"/>
      <c r="P171" s="508">
        <f t="shared" si="5"/>
        <v>0</v>
      </c>
      <c r="Q171" s="508"/>
      <c r="R171" s="508"/>
      <c r="S171" s="400"/>
      <c r="T171" s="400"/>
      <c r="U171" s="400"/>
    </row>
    <row r="172" spans="5:21" x14ac:dyDescent="0.3">
      <c r="E172" s="197" t="str">
        <f>IF(Dades!C762="","",Dades!C762)</f>
        <v/>
      </c>
      <c r="F172" s="396">
        <f>(DSUM('1_Combustibles fòssils'!$E$17:$N$39,"emisiones",'6.2_Resultats Espanya'!E$71:E172)/1000)-SUM(F$72:F171)</f>
        <v>0</v>
      </c>
      <c r="G172" s="396">
        <f>(DSUM('2_Fluorats'!$E$11:$P$33,"emisiones",'6.2_Resultats Espanya'!E$71:E172)/1000)-SUM(G$72:G171)</f>
        <v>0</v>
      </c>
      <c r="H172" s="507">
        <f>(DSUM('3_Emissions processos'!$E$13:$L$35,"emisiones",'6.2_Resultats Espanya'!E$71:E172)/1000)-SUM(H$72:H171)</f>
        <v>0</v>
      </c>
      <c r="I172" s="507"/>
      <c r="J172" s="508">
        <f t="shared" si="4"/>
        <v>0</v>
      </c>
      <c r="K172" s="508"/>
      <c r="L172" s="508"/>
      <c r="M172" s="508"/>
      <c r="N172" s="507">
        <f>(DSUM('4.2_Electricitat Espanya'!$E$19:$J$41,"emisiones",'6.2_Resultats Espanya'!E$71:E172)/1000)-SUM(N$72:N171)</f>
        <v>0</v>
      </c>
      <c r="O172" s="507"/>
      <c r="P172" s="508">
        <f t="shared" si="5"/>
        <v>0</v>
      </c>
      <c r="Q172" s="508"/>
      <c r="R172" s="508"/>
      <c r="S172" s="400"/>
      <c r="T172" s="400"/>
      <c r="U172" s="400"/>
    </row>
    <row r="173" spans="5:21" x14ac:dyDescent="0.3">
      <c r="E173" s="197" t="str">
        <f>IF(Dades!C763="","",Dades!C763)</f>
        <v/>
      </c>
      <c r="F173" s="396">
        <f>(DSUM('1_Combustibles fòssils'!$E$17:$N$39,"emisiones",'6.2_Resultats Espanya'!E$71:E173)/1000)-SUM(F$72:F172)</f>
        <v>0</v>
      </c>
      <c r="G173" s="396">
        <f>(DSUM('2_Fluorats'!$E$11:$P$33,"emisiones",'6.2_Resultats Espanya'!E$71:E173)/1000)-SUM(G$72:G172)</f>
        <v>0</v>
      </c>
      <c r="H173" s="507">
        <f>(DSUM('3_Emissions processos'!$E$13:$L$35,"emisiones",'6.2_Resultats Espanya'!E$71:E173)/1000)-SUM(H$72:H172)</f>
        <v>0</v>
      </c>
      <c r="I173" s="507"/>
      <c r="J173" s="508">
        <f t="shared" si="4"/>
        <v>0</v>
      </c>
      <c r="K173" s="508"/>
      <c r="L173" s="508"/>
      <c r="M173" s="508"/>
      <c r="N173" s="507">
        <f>(DSUM('4.2_Electricitat Espanya'!$E$19:$J$41,"emisiones",'6.2_Resultats Espanya'!E$71:E173)/1000)-SUM(N$72:N172)</f>
        <v>0</v>
      </c>
      <c r="O173" s="507"/>
      <c r="P173" s="508">
        <f t="shared" si="5"/>
        <v>0</v>
      </c>
      <c r="Q173" s="508"/>
      <c r="R173" s="508"/>
      <c r="S173" s="400"/>
      <c r="T173" s="400"/>
      <c r="U173" s="400"/>
    </row>
    <row r="174" spans="5:21" x14ac:dyDescent="0.3">
      <c r="E174" s="197" t="str">
        <f>IF(Dades!C764="","",Dades!C764)</f>
        <v/>
      </c>
      <c r="F174" s="396">
        <f>(DSUM('1_Combustibles fòssils'!$E$17:$N$39,"emisiones",'6.2_Resultats Espanya'!E$71:E174)/1000)-SUM(F$72:F173)</f>
        <v>0</v>
      </c>
      <c r="G174" s="396">
        <f>(DSUM('2_Fluorats'!$E$11:$P$33,"emisiones",'6.2_Resultats Espanya'!E$71:E174)/1000)-SUM(G$72:G173)</f>
        <v>0</v>
      </c>
      <c r="H174" s="507">
        <f>(DSUM('3_Emissions processos'!$E$13:$L$35,"emisiones",'6.2_Resultats Espanya'!E$71:E174)/1000)-SUM(H$72:H173)</f>
        <v>0</v>
      </c>
      <c r="I174" s="507"/>
      <c r="J174" s="508">
        <f t="shared" si="4"/>
        <v>0</v>
      </c>
      <c r="K174" s="508"/>
      <c r="L174" s="508"/>
      <c r="M174" s="508"/>
      <c r="N174" s="507">
        <f>(DSUM('4.2_Electricitat Espanya'!$E$19:$J$41,"emisiones",'6.2_Resultats Espanya'!E$71:E174)/1000)-SUM(N$72:N173)</f>
        <v>0</v>
      </c>
      <c r="O174" s="507"/>
      <c r="P174" s="508">
        <f t="shared" si="5"/>
        <v>0</v>
      </c>
      <c r="Q174" s="508"/>
      <c r="R174" s="508"/>
      <c r="S174" s="400"/>
      <c r="T174" s="400"/>
      <c r="U174" s="400"/>
    </row>
    <row r="175" spans="5:21" x14ac:dyDescent="0.3">
      <c r="E175" s="197" t="str">
        <f>IF(Dades!C765="","",Dades!C765)</f>
        <v/>
      </c>
      <c r="F175" s="396">
        <f>(DSUM('1_Combustibles fòssils'!$E$17:$N$39,"emisiones",'6.2_Resultats Espanya'!E$71:E175)/1000)-SUM(F$72:F174)</f>
        <v>0</v>
      </c>
      <c r="G175" s="396">
        <f>(DSUM('2_Fluorats'!$E$11:$P$33,"emisiones",'6.2_Resultats Espanya'!E$71:E175)/1000)-SUM(G$72:G174)</f>
        <v>0</v>
      </c>
      <c r="H175" s="507">
        <f>(DSUM('3_Emissions processos'!$E$13:$L$35,"emisiones",'6.2_Resultats Espanya'!E$71:E175)/1000)-SUM(H$72:H174)</f>
        <v>0</v>
      </c>
      <c r="I175" s="507"/>
      <c r="J175" s="508">
        <f t="shared" si="4"/>
        <v>0</v>
      </c>
      <c r="K175" s="508"/>
      <c r="L175" s="508"/>
      <c r="M175" s="508"/>
      <c r="N175" s="507">
        <f>(DSUM('4.2_Electricitat Espanya'!$E$19:$J$41,"emisiones",'6.2_Resultats Espanya'!E$71:E175)/1000)-SUM(N$72:N174)</f>
        <v>0</v>
      </c>
      <c r="O175" s="507"/>
      <c r="P175" s="508">
        <f t="shared" si="5"/>
        <v>0</v>
      </c>
      <c r="Q175" s="508"/>
      <c r="R175" s="508"/>
      <c r="S175" s="400"/>
      <c r="T175" s="400"/>
      <c r="U175" s="400"/>
    </row>
    <row r="176" spans="5:21" x14ac:dyDescent="0.3">
      <c r="E176" s="197" t="str">
        <f>IF(Dades!C766="","",Dades!C766)</f>
        <v/>
      </c>
      <c r="F176" s="396">
        <f>(DSUM('1_Combustibles fòssils'!$E$17:$N$39,"emisiones",'6.2_Resultats Espanya'!E$71:E176)/1000)-SUM(F$72:F175)</f>
        <v>0</v>
      </c>
      <c r="G176" s="396">
        <f>(DSUM('2_Fluorats'!$E$11:$P$33,"emisiones",'6.2_Resultats Espanya'!E$71:E176)/1000)-SUM(G$72:G175)</f>
        <v>0</v>
      </c>
      <c r="H176" s="507">
        <f>(DSUM('3_Emissions processos'!$E$13:$L$35,"emisiones",'6.2_Resultats Espanya'!E$71:E176)/1000)-SUM(H$72:H175)</f>
        <v>0</v>
      </c>
      <c r="I176" s="507"/>
      <c r="J176" s="508">
        <f t="shared" si="4"/>
        <v>0</v>
      </c>
      <c r="K176" s="508"/>
      <c r="L176" s="508"/>
      <c r="M176" s="508"/>
      <c r="N176" s="507">
        <f>(DSUM('4.2_Electricitat Espanya'!$E$19:$J$41,"emisiones",'6.2_Resultats Espanya'!E$71:E176)/1000)-SUM(N$72:N175)</f>
        <v>0</v>
      </c>
      <c r="O176" s="507"/>
      <c r="P176" s="508">
        <f t="shared" si="5"/>
        <v>0</v>
      </c>
      <c r="Q176" s="508"/>
      <c r="R176" s="508"/>
      <c r="S176" s="400"/>
      <c r="T176" s="400"/>
      <c r="U176" s="400"/>
    </row>
    <row r="177" spans="5:21" x14ac:dyDescent="0.3">
      <c r="E177" s="197" t="str">
        <f>IF(Dades!C767="","",Dades!C767)</f>
        <v/>
      </c>
      <c r="F177" s="396">
        <f>(DSUM('1_Combustibles fòssils'!$E$17:$N$39,"emisiones",'6.2_Resultats Espanya'!E$71:E177)/1000)-SUM(F$72:F176)</f>
        <v>0</v>
      </c>
      <c r="G177" s="396">
        <f>(DSUM('2_Fluorats'!$E$11:$P$33,"emisiones",'6.2_Resultats Espanya'!E$71:E177)/1000)-SUM(G$72:G176)</f>
        <v>0</v>
      </c>
      <c r="H177" s="507">
        <f>(DSUM('3_Emissions processos'!$E$13:$L$35,"emisiones",'6.2_Resultats Espanya'!E$71:E177)/1000)-SUM(H$72:H176)</f>
        <v>0</v>
      </c>
      <c r="I177" s="507"/>
      <c r="J177" s="508">
        <f t="shared" si="4"/>
        <v>0</v>
      </c>
      <c r="K177" s="508"/>
      <c r="L177" s="508"/>
      <c r="M177" s="508"/>
      <c r="N177" s="507">
        <f>(DSUM('4.2_Electricitat Espanya'!$E$19:$J$41,"emisiones",'6.2_Resultats Espanya'!E$71:E177)/1000)-SUM(N$72:N176)</f>
        <v>0</v>
      </c>
      <c r="O177" s="507"/>
      <c r="P177" s="508">
        <f t="shared" si="5"/>
        <v>0</v>
      </c>
      <c r="Q177" s="508"/>
      <c r="R177" s="508"/>
      <c r="S177" s="400"/>
      <c r="T177" s="400"/>
      <c r="U177" s="400"/>
    </row>
    <row r="178" spans="5:21" x14ac:dyDescent="0.3">
      <c r="E178" s="197" t="str">
        <f>IF(Dades!C768="","",Dades!C768)</f>
        <v/>
      </c>
      <c r="F178" s="396">
        <f>(DSUM('1_Combustibles fòssils'!$E$17:$N$39,"emisiones",'6.2_Resultats Espanya'!E$71:E178)/1000)-SUM(F$72:F177)</f>
        <v>0</v>
      </c>
      <c r="G178" s="396">
        <f>(DSUM('2_Fluorats'!$E$11:$P$33,"emisiones",'6.2_Resultats Espanya'!E$71:E178)/1000)-SUM(G$72:G177)</f>
        <v>0</v>
      </c>
      <c r="H178" s="507">
        <f>(DSUM('3_Emissions processos'!$E$13:$L$35,"emisiones",'6.2_Resultats Espanya'!E$71:E178)/1000)-SUM(H$72:H177)</f>
        <v>0</v>
      </c>
      <c r="I178" s="507"/>
      <c r="J178" s="508">
        <f t="shared" si="4"/>
        <v>0</v>
      </c>
      <c r="K178" s="508"/>
      <c r="L178" s="508"/>
      <c r="M178" s="508"/>
      <c r="N178" s="507">
        <f>(DSUM('4.2_Electricitat Espanya'!$E$19:$J$41,"emisiones",'6.2_Resultats Espanya'!E$71:E178)/1000)-SUM(N$72:N177)</f>
        <v>0</v>
      </c>
      <c r="O178" s="507"/>
      <c r="P178" s="508">
        <f t="shared" si="5"/>
        <v>0</v>
      </c>
      <c r="Q178" s="508"/>
      <c r="R178" s="508"/>
      <c r="S178" s="400"/>
      <c r="T178" s="400"/>
      <c r="U178" s="400"/>
    </row>
    <row r="179" spans="5:21" x14ac:dyDescent="0.3">
      <c r="E179" s="197" t="str">
        <f>IF(Dades!C769="","",Dades!C769)</f>
        <v/>
      </c>
      <c r="F179" s="396">
        <f>(DSUM('1_Combustibles fòssils'!$E$17:$N$39,"emisiones",'6.2_Resultats Espanya'!E$71:E179)/1000)-SUM(F$72:F178)</f>
        <v>0</v>
      </c>
      <c r="G179" s="396">
        <f>(DSUM('2_Fluorats'!$E$11:$P$33,"emisiones",'6.2_Resultats Espanya'!E$71:E179)/1000)-SUM(G$72:G178)</f>
        <v>0</v>
      </c>
      <c r="H179" s="507">
        <f>(DSUM('3_Emissions processos'!$E$13:$L$35,"emisiones",'6.2_Resultats Espanya'!E$71:E179)/1000)-SUM(H$72:H178)</f>
        <v>0</v>
      </c>
      <c r="I179" s="507"/>
      <c r="J179" s="508">
        <f t="shared" si="4"/>
        <v>0</v>
      </c>
      <c r="K179" s="508"/>
      <c r="L179" s="508"/>
      <c r="M179" s="508"/>
      <c r="N179" s="507">
        <f>(DSUM('4.2_Electricitat Espanya'!$E$19:$J$41,"emisiones",'6.2_Resultats Espanya'!E$71:E179)/1000)-SUM(N$72:N178)</f>
        <v>0</v>
      </c>
      <c r="O179" s="507"/>
      <c r="P179" s="508">
        <f t="shared" si="5"/>
        <v>0</v>
      </c>
      <c r="Q179" s="508"/>
      <c r="R179" s="508"/>
      <c r="S179" s="400"/>
      <c r="T179" s="400"/>
      <c r="U179" s="400"/>
    </row>
    <row r="180" spans="5:21" x14ac:dyDescent="0.3">
      <c r="E180" s="197" t="str">
        <f>IF(Dades!C770="","",Dades!C770)</f>
        <v/>
      </c>
      <c r="F180" s="396">
        <f>(DSUM('1_Combustibles fòssils'!$E$17:$N$39,"emisiones",'6.2_Resultats Espanya'!E$71:E180)/1000)-SUM(F$72:F179)</f>
        <v>0</v>
      </c>
      <c r="G180" s="396">
        <f>(DSUM('2_Fluorats'!$E$11:$P$33,"emisiones",'6.2_Resultats Espanya'!E$71:E180)/1000)-SUM(G$72:G179)</f>
        <v>0</v>
      </c>
      <c r="H180" s="507">
        <f>(DSUM('3_Emissions processos'!$E$13:$L$35,"emisiones",'6.2_Resultats Espanya'!E$71:E180)/1000)-SUM(H$72:H179)</f>
        <v>0</v>
      </c>
      <c r="I180" s="507"/>
      <c r="J180" s="508">
        <f t="shared" si="4"/>
        <v>0</v>
      </c>
      <c r="K180" s="508"/>
      <c r="L180" s="508"/>
      <c r="M180" s="508"/>
      <c r="N180" s="507">
        <f>(DSUM('4.2_Electricitat Espanya'!$E$19:$J$41,"emisiones",'6.2_Resultats Espanya'!E$71:E180)/1000)-SUM(N$72:N179)</f>
        <v>0</v>
      </c>
      <c r="O180" s="507"/>
      <c r="P180" s="508">
        <f t="shared" si="5"/>
        <v>0</v>
      </c>
      <c r="Q180" s="508"/>
      <c r="R180" s="508"/>
      <c r="S180" s="400"/>
      <c r="T180" s="400"/>
      <c r="U180" s="400"/>
    </row>
    <row r="181" spans="5:21" x14ac:dyDescent="0.3">
      <c r="E181" s="197" t="str">
        <f>IF(Dades!C771="","",Dades!C771)</f>
        <v/>
      </c>
      <c r="F181" s="396">
        <f>(DSUM('1_Combustibles fòssils'!$E$17:$N$39,"emisiones",'6.2_Resultats Espanya'!E$71:E181)/1000)-SUM(F$72:F180)</f>
        <v>0</v>
      </c>
      <c r="G181" s="396">
        <f>(DSUM('2_Fluorats'!$E$11:$P$33,"emisiones",'6.2_Resultats Espanya'!E$71:E181)/1000)-SUM(G$72:G180)</f>
        <v>0</v>
      </c>
      <c r="H181" s="507">
        <f>(DSUM('3_Emissions processos'!$E$13:$L$35,"emisiones",'6.2_Resultats Espanya'!E$71:E181)/1000)-SUM(H$72:H180)</f>
        <v>0</v>
      </c>
      <c r="I181" s="507"/>
      <c r="J181" s="508">
        <f t="shared" si="4"/>
        <v>0</v>
      </c>
      <c r="K181" s="508"/>
      <c r="L181" s="508"/>
      <c r="M181" s="508"/>
      <c r="N181" s="507">
        <f>(DSUM('4.2_Electricitat Espanya'!$E$19:$J$41,"emisiones",'6.2_Resultats Espanya'!E$71:E181)/1000)-SUM(N$72:N180)</f>
        <v>0</v>
      </c>
      <c r="O181" s="507"/>
      <c r="P181" s="508">
        <f t="shared" si="5"/>
        <v>0</v>
      </c>
      <c r="Q181" s="508"/>
      <c r="R181" s="508"/>
      <c r="S181" s="400"/>
      <c r="T181" s="400"/>
      <c r="U181" s="400"/>
    </row>
    <row r="182" spans="5:21" x14ac:dyDescent="0.3">
      <c r="E182" s="197" t="str">
        <f>IF(Dades!C772="","",Dades!C772)</f>
        <v/>
      </c>
      <c r="F182" s="396">
        <f>(DSUM('1_Combustibles fòssils'!$E$17:$N$39,"emisiones",'6.2_Resultats Espanya'!E$71:E182)/1000)-SUM(F$72:F181)</f>
        <v>0</v>
      </c>
      <c r="G182" s="396">
        <f>(DSUM('2_Fluorats'!$E$11:$P$33,"emisiones",'6.2_Resultats Espanya'!E$71:E182)/1000)-SUM(G$72:G181)</f>
        <v>0</v>
      </c>
      <c r="H182" s="507">
        <f>(DSUM('3_Emissions processos'!$E$13:$L$35,"emisiones",'6.2_Resultats Espanya'!E$71:E182)/1000)-SUM(H$72:H181)</f>
        <v>0</v>
      </c>
      <c r="I182" s="507"/>
      <c r="J182" s="508">
        <f t="shared" si="4"/>
        <v>0</v>
      </c>
      <c r="K182" s="508"/>
      <c r="L182" s="508"/>
      <c r="M182" s="508"/>
      <c r="N182" s="507">
        <f>(DSUM('4.2_Electricitat Espanya'!$E$19:$J$41,"emisiones",'6.2_Resultats Espanya'!E$71:E182)/1000)-SUM(N$72:N181)</f>
        <v>0</v>
      </c>
      <c r="O182" s="507"/>
      <c r="P182" s="508">
        <f t="shared" si="5"/>
        <v>0</v>
      </c>
      <c r="Q182" s="508"/>
      <c r="R182" s="508"/>
      <c r="S182" s="400"/>
      <c r="T182" s="400"/>
      <c r="U182" s="400"/>
    </row>
    <row r="183" spans="5:21" x14ac:dyDescent="0.3">
      <c r="E183" s="197" t="str">
        <f>IF(Dades!C773="","",Dades!C773)</f>
        <v/>
      </c>
      <c r="F183" s="396">
        <f>(DSUM('1_Combustibles fòssils'!$E$17:$N$39,"emisiones",'6.2_Resultats Espanya'!E$71:E183)/1000)-SUM(F$72:F182)</f>
        <v>0</v>
      </c>
      <c r="G183" s="396">
        <f>(DSUM('2_Fluorats'!$E$11:$P$33,"emisiones",'6.2_Resultats Espanya'!E$71:E183)/1000)-SUM(G$72:G182)</f>
        <v>0</v>
      </c>
      <c r="H183" s="507">
        <f>(DSUM('3_Emissions processos'!$E$13:$L$35,"emisiones",'6.2_Resultats Espanya'!E$71:E183)/1000)-SUM(H$72:H182)</f>
        <v>0</v>
      </c>
      <c r="I183" s="507"/>
      <c r="J183" s="508">
        <f t="shared" si="4"/>
        <v>0</v>
      </c>
      <c r="K183" s="508"/>
      <c r="L183" s="508"/>
      <c r="M183" s="508"/>
      <c r="N183" s="507">
        <f>(DSUM('4.2_Electricitat Espanya'!$E$19:$J$41,"emisiones",'6.2_Resultats Espanya'!E$71:E183)/1000)-SUM(N$72:N182)</f>
        <v>0</v>
      </c>
      <c r="O183" s="507"/>
      <c r="P183" s="508">
        <f t="shared" si="5"/>
        <v>0</v>
      </c>
      <c r="Q183" s="508"/>
      <c r="R183" s="508"/>
      <c r="S183" s="400"/>
      <c r="T183" s="400"/>
      <c r="U183" s="400"/>
    </row>
    <row r="184" spans="5:21" x14ac:dyDescent="0.3">
      <c r="E184" s="197" t="str">
        <f>IF(Dades!C774="","",Dades!C774)</f>
        <v/>
      </c>
      <c r="F184" s="396">
        <f>(DSUM('1_Combustibles fòssils'!$E$17:$N$39,"emisiones",'6.2_Resultats Espanya'!E$71:E184)/1000)-SUM(F$72:F183)</f>
        <v>0</v>
      </c>
      <c r="G184" s="396">
        <f>(DSUM('2_Fluorats'!$E$11:$P$33,"emisiones",'6.2_Resultats Espanya'!E$71:E184)/1000)-SUM(G$72:G183)</f>
        <v>0</v>
      </c>
      <c r="H184" s="507">
        <f>(DSUM('3_Emissions processos'!$E$13:$L$35,"emisiones",'6.2_Resultats Espanya'!E$71:E184)/1000)-SUM(H$72:H183)</f>
        <v>0</v>
      </c>
      <c r="I184" s="507"/>
      <c r="J184" s="508">
        <f t="shared" si="4"/>
        <v>0</v>
      </c>
      <c r="K184" s="508"/>
      <c r="L184" s="508"/>
      <c r="M184" s="508"/>
      <c r="N184" s="507">
        <f>(DSUM('4.2_Electricitat Espanya'!$E$19:$J$41,"emisiones",'6.2_Resultats Espanya'!E$71:E184)/1000)-SUM(N$72:N183)</f>
        <v>0</v>
      </c>
      <c r="O184" s="507"/>
      <c r="P184" s="508">
        <f t="shared" si="5"/>
        <v>0</v>
      </c>
      <c r="Q184" s="508"/>
      <c r="R184" s="508"/>
      <c r="S184" s="400"/>
      <c r="T184" s="400"/>
      <c r="U184" s="400"/>
    </row>
    <row r="185" spans="5:21" x14ac:dyDescent="0.3">
      <c r="E185" s="197" t="str">
        <f>IF(Dades!C775="","",Dades!C775)</f>
        <v/>
      </c>
      <c r="F185" s="396">
        <f>(DSUM('1_Combustibles fòssils'!$E$17:$N$39,"emisiones",'6.2_Resultats Espanya'!E$71:E185)/1000)-SUM(F$72:F184)</f>
        <v>0</v>
      </c>
      <c r="G185" s="396">
        <f>(DSUM('2_Fluorats'!$E$11:$P$33,"emisiones",'6.2_Resultats Espanya'!E$71:E185)/1000)-SUM(G$72:G184)</f>
        <v>0</v>
      </c>
      <c r="H185" s="507">
        <f>(DSUM('3_Emissions processos'!$E$13:$L$35,"emisiones",'6.2_Resultats Espanya'!E$71:E185)/1000)-SUM(H$72:H184)</f>
        <v>0</v>
      </c>
      <c r="I185" s="507"/>
      <c r="J185" s="508">
        <f t="shared" si="4"/>
        <v>0</v>
      </c>
      <c r="K185" s="508"/>
      <c r="L185" s="508"/>
      <c r="M185" s="508"/>
      <c r="N185" s="507">
        <f>(DSUM('4.2_Electricitat Espanya'!$E$19:$J$41,"emisiones",'6.2_Resultats Espanya'!E$71:E185)/1000)-SUM(N$72:N184)</f>
        <v>0</v>
      </c>
      <c r="O185" s="507"/>
      <c r="P185" s="508">
        <f t="shared" si="5"/>
        <v>0</v>
      </c>
      <c r="Q185" s="508"/>
      <c r="R185" s="508"/>
      <c r="S185" s="400"/>
      <c r="T185" s="400"/>
      <c r="U185" s="400"/>
    </row>
    <row r="186" spans="5:21" x14ac:dyDescent="0.3">
      <c r="E186" s="197" t="str">
        <f>IF(Dades!C776="","",Dades!C776)</f>
        <v/>
      </c>
      <c r="F186" s="396">
        <f>(DSUM('1_Combustibles fòssils'!$E$17:$N$39,"emisiones",'6.2_Resultats Espanya'!E$71:E186)/1000)-SUM(F$72:F185)</f>
        <v>0</v>
      </c>
      <c r="G186" s="396">
        <f>(DSUM('2_Fluorats'!$E$11:$P$33,"emisiones",'6.2_Resultats Espanya'!E$71:E186)/1000)-SUM(G$72:G185)</f>
        <v>0</v>
      </c>
      <c r="H186" s="507">
        <f>(DSUM('3_Emissions processos'!$E$13:$L$35,"emisiones",'6.2_Resultats Espanya'!E$71:E186)/1000)-SUM(H$72:H185)</f>
        <v>0</v>
      </c>
      <c r="I186" s="507"/>
      <c r="J186" s="508">
        <f t="shared" si="4"/>
        <v>0</v>
      </c>
      <c r="K186" s="508"/>
      <c r="L186" s="508"/>
      <c r="M186" s="508"/>
      <c r="N186" s="507">
        <f>(DSUM('4.2_Electricitat Espanya'!$E$19:$J$41,"emisiones",'6.2_Resultats Espanya'!E$71:E186)/1000)-SUM(N$72:N185)</f>
        <v>0</v>
      </c>
      <c r="O186" s="507"/>
      <c r="P186" s="508">
        <f t="shared" si="5"/>
        <v>0</v>
      </c>
      <c r="Q186" s="508"/>
      <c r="R186" s="508"/>
      <c r="S186" s="400"/>
      <c r="T186" s="400"/>
      <c r="U186" s="400"/>
    </row>
    <row r="187" spans="5:21" x14ac:dyDescent="0.3">
      <c r="E187" s="197" t="str">
        <f>IF(Dades!C777="","",Dades!C777)</f>
        <v/>
      </c>
      <c r="F187" s="396">
        <f>(DSUM('1_Combustibles fòssils'!$E$17:$N$39,"emisiones",'6.2_Resultats Espanya'!E$71:E187)/1000)-SUM(F$72:F186)</f>
        <v>0</v>
      </c>
      <c r="G187" s="396">
        <f>(DSUM('2_Fluorats'!$E$11:$P$33,"emisiones",'6.2_Resultats Espanya'!E$71:E187)/1000)-SUM(G$72:G186)</f>
        <v>0</v>
      </c>
      <c r="H187" s="507">
        <f>(DSUM('3_Emissions processos'!$E$13:$L$35,"emisiones",'6.2_Resultats Espanya'!E$71:E187)/1000)-SUM(H$72:H186)</f>
        <v>0</v>
      </c>
      <c r="I187" s="507"/>
      <c r="J187" s="508">
        <f t="shared" si="4"/>
        <v>0</v>
      </c>
      <c r="K187" s="508"/>
      <c r="L187" s="508"/>
      <c r="M187" s="508"/>
      <c r="N187" s="507">
        <f>(DSUM('4.2_Electricitat Espanya'!$E$19:$J$41,"emisiones",'6.2_Resultats Espanya'!E$71:E187)/1000)-SUM(N$72:N186)</f>
        <v>0</v>
      </c>
      <c r="O187" s="507"/>
      <c r="P187" s="508">
        <f t="shared" si="5"/>
        <v>0</v>
      </c>
      <c r="Q187" s="508"/>
      <c r="R187" s="508"/>
      <c r="S187" s="400"/>
      <c r="T187" s="400"/>
      <c r="U187" s="400"/>
    </row>
    <row r="188" spans="5:21" x14ac:dyDescent="0.3">
      <c r="E188" s="197" t="str">
        <f>IF(Dades!C778="","",Dades!C778)</f>
        <v/>
      </c>
      <c r="F188" s="396">
        <f>(DSUM('1_Combustibles fòssils'!$E$17:$N$39,"emisiones",'6.2_Resultats Espanya'!E$71:E188)/1000)-SUM(F$72:F187)</f>
        <v>0</v>
      </c>
      <c r="G188" s="396">
        <f>(DSUM('2_Fluorats'!$E$11:$P$33,"emisiones",'6.2_Resultats Espanya'!E$71:E188)/1000)-SUM(G$72:G187)</f>
        <v>0</v>
      </c>
      <c r="H188" s="507">
        <f>(DSUM('3_Emissions processos'!$E$13:$L$35,"emisiones",'6.2_Resultats Espanya'!E$71:E188)/1000)-SUM(H$72:H187)</f>
        <v>0</v>
      </c>
      <c r="I188" s="507"/>
      <c r="J188" s="508">
        <f t="shared" si="4"/>
        <v>0</v>
      </c>
      <c r="K188" s="508"/>
      <c r="L188" s="508"/>
      <c r="M188" s="508"/>
      <c r="N188" s="507">
        <f>(DSUM('4.2_Electricitat Espanya'!$E$19:$J$41,"emisiones",'6.2_Resultats Espanya'!E$71:E188)/1000)-SUM(N$72:N187)</f>
        <v>0</v>
      </c>
      <c r="O188" s="507"/>
      <c r="P188" s="508">
        <f t="shared" si="5"/>
        <v>0</v>
      </c>
      <c r="Q188" s="508"/>
      <c r="R188" s="508"/>
      <c r="S188" s="400"/>
      <c r="T188" s="400"/>
      <c r="U188" s="400"/>
    </row>
    <row r="189" spans="5:21" x14ac:dyDescent="0.3">
      <c r="E189" s="197" t="str">
        <f>IF(Dades!C779="","",Dades!C779)</f>
        <v/>
      </c>
      <c r="F189" s="396">
        <f>(DSUM('1_Combustibles fòssils'!$E$17:$N$39,"emisiones",'6.2_Resultats Espanya'!E$71:E189)/1000)-SUM(F$72:F188)</f>
        <v>0</v>
      </c>
      <c r="G189" s="396">
        <f>(DSUM('2_Fluorats'!$E$11:$P$33,"emisiones",'6.2_Resultats Espanya'!E$71:E189)/1000)-SUM(G$72:G188)</f>
        <v>0</v>
      </c>
      <c r="H189" s="507">
        <f>(DSUM('3_Emissions processos'!$E$13:$L$35,"emisiones",'6.2_Resultats Espanya'!E$71:E189)/1000)-SUM(H$72:H188)</f>
        <v>0</v>
      </c>
      <c r="I189" s="507"/>
      <c r="J189" s="508">
        <f t="shared" si="4"/>
        <v>0</v>
      </c>
      <c r="K189" s="508"/>
      <c r="L189" s="508"/>
      <c r="M189" s="508"/>
      <c r="N189" s="507">
        <f>(DSUM('4.2_Electricitat Espanya'!$E$19:$J$41,"emisiones",'6.2_Resultats Espanya'!E$71:E189)/1000)-SUM(N$72:N188)</f>
        <v>0</v>
      </c>
      <c r="O189" s="507"/>
      <c r="P189" s="508">
        <f t="shared" si="5"/>
        <v>0</v>
      </c>
      <c r="Q189" s="508"/>
      <c r="R189" s="508"/>
      <c r="S189" s="400"/>
      <c r="T189" s="400"/>
      <c r="U189" s="400"/>
    </row>
    <row r="190" spans="5:21" x14ac:dyDescent="0.3">
      <c r="E190" s="197" t="str">
        <f>IF(Dades!C780="","",Dades!C780)</f>
        <v/>
      </c>
      <c r="F190" s="396">
        <f>(DSUM('1_Combustibles fòssils'!$E$17:$N$39,"emisiones",'6.2_Resultats Espanya'!E$71:E190)/1000)-SUM(F$72:F189)</f>
        <v>0</v>
      </c>
      <c r="G190" s="396">
        <f>(DSUM('2_Fluorats'!$E$11:$P$33,"emisiones",'6.2_Resultats Espanya'!E$71:E190)/1000)-SUM(G$72:G189)</f>
        <v>0</v>
      </c>
      <c r="H190" s="507">
        <f>(DSUM('3_Emissions processos'!$E$13:$L$35,"emisiones",'6.2_Resultats Espanya'!E$71:E190)/1000)-SUM(H$72:H189)</f>
        <v>0</v>
      </c>
      <c r="I190" s="507"/>
      <c r="J190" s="508">
        <f t="shared" si="4"/>
        <v>0</v>
      </c>
      <c r="K190" s="508"/>
      <c r="L190" s="508"/>
      <c r="M190" s="508"/>
      <c r="N190" s="507">
        <f>(DSUM('4.2_Electricitat Espanya'!$E$19:$J$41,"emisiones",'6.2_Resultats Espanya'!E$71:E190)/1000)-SUM(N$72:N189)</f>
        <v>0</v>
      </c>
      <c r="O190" s="507"/>
      <c r="P190" s="508">
        <f t="shared" si="5"/>
        <v>0</v>
      </c>
      <c r="Q190" s="508"/>
      <c r="R190" s="508"/>
      <c r="S190" s="400"/>
      <c r="T190" s="400"/>
      <c r="U190" s="400"/>
    </row>
    <row r="191" spans="5:21" x14ac:dyDescent="0.3">
      <c r="E191" s="197" t="str">
        <f>IF(Dades!C781="","",Dades!C781)</f>
        <v/>
      </c>
      <c r="F191" s="396">
        <f>(DSUM('1_Combustibles fòssils'!$E$17:$N$39,"emisiones",'6.2_Resultats Espanya'!E$71:E191)/1000)-SUM(F$72:F190)</f>
        <v>0</v>
      </c>
      <c r="G191" s="396">
        <f>(DSUM('2_Fluorats'!$E$11:$P$33,"emisiones",'6.2_Resultats Espanya'!E$71:E191)/1000)-SUM(G$72:G190)</f>
        <v>0</v>
      </c>
      <c r="H191" s="507">
        <f>(DSUM('3_Emissions processos'!$E$13:$L$35,"emisiones",'6.2_Resultats Espanya'!E$71:E191)/1000)-SUM(H$72:H190)</f>
        <v>0</v>
      </c>
      <c r="I191" s="507"/>
      <c r="J191" s="508">
        <f t="shared" si="4"/>
        <v>0</v>
      </c>
      <c r="K191" s="508"/>
      <c r="L191" s="508"/>
      <c r="M191" s="508"/>
      <c r="N191" s="507">
        <f>(DSUM('4.2_Electricitat Espanya'!$E$19:$J$41,"emisiones",'6.2_Resultats Espanya'!E$71:E191)/1000)-SUM(N$72:N190)</f>
        <v>0</v>
      </c>
      <c r="O191" s="507"/>
      <c r="P191" s="508">
        <f t="shared" si="5"/>
        <v>0</v>
      </c>
      <c r="Q191" s="508"/>
      <c r="R191" s="508"/>
      <c r="S191" s="400"/>
      <c r="T191" s="400"/>
      <c r="U191" s="400"/>
    </row>
    <row r="192" spans="5:21" x14ac:dyDescent="0.3">
      <c r="E192" s="197" t="str">
        <f>IF(Dades!C782="","",Dades!C782)</f>
        <v/>
      </c>
      <c r="F192" s="396">
        <f>(DSUM('1_Combustibles fòssils'!$E$17:$N$39,"emisiones",'6.2_Resultats Espanya'!E$71:E192)/1000)-SUM(F$72:F191)</f>
        <v>0</v>
      </c>
      <c r="G192" s="396">
        <f>(DSUM('2_Fluorats'!$E$11:$P$33,"emisiones",'6.2_Resultats Espanya'!E$71:E192)/1000)-SUM(G$72:G191)</f>
        <v>0</v>
      </c>
      <c r="H192" s="507">
        <f>(DSUM('3_Emissions processos'!$E$13:$L$35,"emisiones",'6.2_Resultats Espanya'!E$71:E192)/1000)-SUM(H$72:H191)</f>
        <v>0</v>
      </c>
      <c r="I192" s="507"/>
      <c r="J192" s="508">
        <f t="shared" si="4"/>
        <v>0</v>
      </c>
      <c r="K192" s="508"/>
      <c r="L192" s="508"/>
      <c r="M192" s="508"/>
      <c r="N192" s="507">
        <f>(DSUM('4.2_Electricitat Espanya'!$E$19:$J$41,"emisiones",'6.2_Resultats Espanya'!E$71:E192)/1000)-SUM(N$72:N191)</f>
        <v>0</v>
      </c>
      <c r="O192" s="507"/>
      <c r="P192" s="508">
        <f t="shared" si="5"/>
        <v>0</v>
      </c>
      <c r="Q192" s="508"/>
      <c r="R192" s="508"/>
      <c r="S192" s="400"/>
      <c r="T192" s="400"/>
      <c r="U192" s="400"/>
    </row>
    <row r="193" spans="5:21" x14ac:dyDescent="0.3">
      <c r="E193" s="197" t="str">
        <f>IF(Dades!C783="","",Dades!C783)</f>
        <v/>
      </c>
      <c r="F193" s="396">
        <f>(DSUM('1_Combustibles fòssils'!$E$17:$N$39,"emisiones",'6.2_Resultats Espanya'!E$71:E193)/1000)-SUM(F$72:F192)</f>
        <v>0</v>
      </c>
      <c r="G193" s="396">
        <f>(DSUM('2_Fluorats'!$E$11:$P$33,"emisiones",'6.2_Resultats Espanya'!E$71:E193)/1000)-SUM(G$72:G192)</f>
        <v>0</v>
      </c>
      <c r="H193" s="507">
        <f>(DSUM('3_Emissions processos'!$E$13:$L$35,"emisiones",'6.2_Resultats Espanya'!E$71:E193)/1000)-SUM(H$72:H192)</f>
        <v>0</v>
      </c>
      <c r="I193" s="507"/>
      <c r="J193" s="508">
        <f t="shared" si="4"/>
        <v>0</v>
      </c>
      <c r="K193" s="508"/>
      <c r="L193" s="508"/>
      <c r="M193" s="508"/>
      <c r="N193" s="507">
        <f>(DSUM('4.2_Electricitat Espanya'!$E$19:$J$41,"emisiones",'6.2_Resultats Espanya'!E$71:E193)/1000)-SUM(N$72:N192)</f>
        <v>0</v>
      </c>
      <c r="O193" s="507"/>
      <c r="P193" s="508">
        <f t="shared" si="5"/>
        <v>0</v>
      </c>
      <c r="Q193" s="508"/>
      <c r="R193" s="508"/>
      <c r="S193" s="400"/>
      <c r="T193" s="400"/>
      <c r="U193" s="400"/>
    </row>
    <row r="194" spans="5:21" x14ac:dyDescent="0.3">
      <c r="E194" s="197" t="str">
        <f>IF(Dades!C784="","",Dades!C784)</f>
        <v/>
      </c>
      <c r="F194" s="396">
        <f>(DSUM('1_Combustibles fòssils'!$E$17:$N$39,"emisiones",'6.2_Resultats Espanya'!E$71:E194)/1000)-SUM(F$72:F193)</f>
        <v>0</v>
      </c>
      <c r="G194" s="396">
        <f>(DSUM('2_Fluorats'!$E$11:$P$33,"emisiones",'6.2_Resultats Espanya'!E$71:E194)/1000)-SUM(G$72:G193)</f>
        <v>0</v>
      </c>
      <c r="H194" s="507">
        <f>(DSUM('3_Emissions processos'!$E$13:$L$35,"emisiones",'6.2_Resultats Espanya'!E$71:E194)/1000)-SUM(H$72:H193)</f>
        <v>0</v>
      </c>
      <c r="I194" s="507"/>
      <c r="J194" s="508">
        <f t="shared" si="4"/>
        <v>0</v>
      </c>
      <c r="K194" s="508"/>
      <c r="L194" s="508"/>
      <c r="M194" s="508"/>
      <c r="N194" s="507">
        <f>(DSUM('4.2_Electricitat Espanya'!$E$19:$J$41,"emisiones",'6.2_Resultats Espanya'!E$71:E194)/1000)-SUM(N$72:N193)</f>
        <v>0</v>
      </c>
      <c r="O194" s="507"/>
      <c r="P194" s="508">
        <f t="shared" si="5"/>
        <v>0</v>
      </c>
      <c r="Q194" s="508"/>
      <c r="R194" s="508"/>
      <c r="S194" s="400"/>
      <c r="T194" s="400"/>
      <c r="U194" s="400"/>
    </row>
    <row r="195" spans="5:21" x14ac:dyDescent="0.3">
      <c r="E195" s="197" t="str">
        <f>IF(Dades!C785="","",Dades!C785)</f>
        <v/>
      </c>
      <c r="F195" s="396">
        <f>(DSUM('1_Combustibles fòssils'!$E$17:$N$39,"emisiones",'6.2_Resultats Espanya'!E$71:E195)/1000)-SUM(F$72:F194)</f>
        <v>0</v>
      </c>
      <c r="G195" s="396">
        <f>(DSUM('2_Fluorats'!$E$11:$P$33,"emisiones",'6.2_Resultats Espanya'!E$71:E195)/1000)-SUM(G$72:G194)</f>
        <v>0</v>
      </c>
      <c r="H195" s="507">
        <f>(DSUM('3_Emissions processos'!$E$13:$L$35,"emisiones",'6.2_Resultats Espanya'!E$71:E195)/1000)-SUM(H$72:H194)</f>
        <v>0</v>
      </c>
      <c r="I195" s="507"/>
      <c r="J195" s="508">
        <f t="shared" si="4"/>
        <v>0</v>
      </c>
      <c r="K195" s="508"/>
      <c r="L195" s="508"/>
      <c r="M195" s="508"/>
      <c r="N195" s="507">
        <f>(DSUM('4.2_Electricitat Espanya'!$E$19:$J$41,"emisiones",'6.2_Resultats Espanya'!E$71:E195)/1000)-SUM(N$72:N194)</f>
        <v>0</v>
      </c>
      <c r="O195" s="507"/>
      <c r="P195" s="508">
        <f t="shared" si="5"/>
        <v>0</v>
      </c>
      <c r="Q195" s="508"/>
      <c r="R195" s="508"/>
      <c r="S195" s="400"/>
      <c r="T195" s="400"/>
      <c r="U195" s="400"/>
    </row>
    <row r="196" spans="5:21" x14ac:dyDescent="0.3">
      <c r="E196" s="197" t="str">
        <f>IF(Dades!C786="","",Dades!C786)</f>
        <v/>
      </c>
      <c r="F196" s="396">
        <f>(DSUM('1_Combustibles fòssils'!$E$17:$N$39,"emisiones",'6.2_Resultats Espanya'!E$71:E196)/1000)-SUM(F$72:F195)</f>
        <v>0</v>
      </c>
      <c r="G196" s="396">
        <f>(DSUM('2_Fluorats'!$E$11:$P$33,"emisiones",'6.2_Resultats Espanya'!E$71:E196)/1000)-SUM(G$72:G195)</f>
        <v>0</v>
      </c>
      <c r="H196" s="507">
        <f>(DSUM('3_Emissions processos'!$E$13:$L$35,"emisiones",'6.2_Resultats Espanya'!E$71:E196)/1000)-SUM(H$72:H195)</f>
        <v>0</v>
      </c>
      <c r="I196" s="507"/>
      <c r="J196" s="508">
        <f t="shared" si="4"/>
        <v>0</v>
      </c>
      <c r="K196" s="508"/>
      <c r="L196" s="508"/>
      <c r="M196" s="508"/>
      <c r="N196" s="507">
        <f>(DSUM('4.2_Electricitat Espanya'!$E$19:$J$41,"emisiones",'6.2_Resultats Espanya'!E$71:E196)/1000)-SUM(N$72:N195)</f>
        <v>0</v>
      </c>
      <c r="O196" s="507"/>
      <c r="P196" s="508">
        <f t="shared" si="5"/>
        <v>0</v>
      </c>
      <c r="Q196" s="508"/>
      <c r="R196" s="508"/>
      <c r="S196" s="400"/>
      <c r="T196" s="400"/>
      <c r="U196" s="400"/>
    </row>
    <row r="197" spans="5:21" x14ac:dyDescent="0.3">
      <c r="E197" s="197" t="str">
        <f>IF(Dades!C787="","",Dades!C787)</f>
        <v/>
      </c>
      <c r="F197" s="396">
        <f>(DSUM('1_Combustibles fòssils'!$E$17:$N$39,"emisiones",'6.2_Resultats Espanya'!E$71:E197)/1000)-SUM(F$72:F196)</f>
        <v>0</v>
      </c>
      <c r="G197" s="396">
        <f>(DSUM('2_Fluorats'!$E$11:$P$33,"emisiones",'6.2_Resultats Espanya'!E$71:E197)/1000)-SUM(G$72:G196)</f>
        <v>0</v>
      </c>
      <c r="H197" s="507">
        <f>(DSUM('3_Emissions processos'!$E$13:$L$35,"emisiones",'6.2_Resultats Espanya'!E$71:E197)/1000)-SUM(H$72:H196)</f>
        <v>0</v>
      </c>
      <c r="I197" s="507"/>
      <c r="J197" s="508">
        <f t="shared" si="4"/>
        <v>0</v>
      </c>
      <c r="K197" s="508"/>
      <c r="L197" s="508"/>
      <c r="M197" s="508"/>
      <c r="N197" s="507">
        <f>(DSUM('4.2_Electricitat Espanya'!$E$19:$J$41,"emisiones",'6.2_Resultats Espanya'!E$71:E197)/1000)-SUM(N$72:N196)</f>
        <v>0</v>
      </c>
      <c r="O197" s="507"/>
      <c r="P197" s="508">
        <f t="shared" si="5"/>
        <v>0</v>
      </c>
      <c r="Q197" s="508"/>
      <c r="R197" s="508"/>
      <c r="S197" s="400"/>
      <c r="T197" s="400"/>
      <c r="U197" s="400"/>
    </row>
    <row r="198" spans="5:21" x14ac:dyDescent="0.3">
      <c r="E198" s="197" t="str">
        <f>IF(Dades!C788="","",Dades!C788)</f>
        <v/>
      </c>
      <c r="F198" s="396">
        <f>(DSUM('1_Combustibles fòssils'!$E$17:$N$39,"emisiones",'6.2_Resultats Espanya'!E$71:E198)/1000)-SUM(F$72:F197)</f>
        <v>0</v>
      </c>
      <c r="G198" s="396">
        <f>(DSUM('2_Fluorats'!$E$11:$P$33,"emisiones",'6.2_Resultats Espanya'!E$71:E198)/1000)-SUM(G$72:G197)</f>
        <v>0</v>
      </c>
      <c r="H198" s="507">
        <f>(DSUM('3_Emissions processos'!$E$13:$L$35,"emisiones",'6.2_Resultats Espanya'!E$71:E198)/1000)-SUM(H$72:H197)</f>
        <v>0</v>
      </c>
      <c r="I198" s="507"/>
      <c r="J198" s="508">
        <f t="shared" si="4"/>
        <v>0</v>
      </c>
      <c r="K198" s="508"/>
      <c r="L198" s="508"/>
      <c r="M198" s="508"/>
      <c r="N198" s="507">
        <f>(DSUM('4.2_Electricitat Espanya'!$E$19:$J$41,"emisiones",'6.2_Resultats Espanya'!E$71:E198)/1000)-SUM(N$72:N197)</f>
        <v>0</v>
      </c>
      <c r="O198" s="507"/>
      <c r="P198" s="508">
        <f t="shared" si="5"/>
        <v>0</v>
      </c>
      <c r="Q198" s="508"/>
      <c r="R198" s="508"/>
      <c r="S198" s="400"/>
      <c r="T198" s="400"/>
      <c r="U198" s="400"/>
    </row>
    <row r="199" spans="5:21" x14ac:dyDescent="0.3">
      <c r="E199" s="197" t="str">
        <f>IF(Dades!C789="","",Dades!C789)</f>
        <v/>
      </c>
      <c r="F199" s="396">
        <f>(DSUM('1_Combustibles fòssils'!$E$17:$N$39,"emisiones",'6.2_Resultats Espanya'!E$71:E199)/1000)-SUM(F$72:F198)</f>
        <v>0</v>
      </c>
      <c r="G199" s="396">
        <f>(DSUM('2_Fluorats'!$E$11:$P$33,"emisiones",'6.2_Resultats Espanya'!E$71:E199)/1000)-SUM(G$72:G198)</f>
        <v>0</v>
      </c>
      <c r="H199" s="507">
        <f>(DSUM('3_Emissions processos'!$E$13:$L$35,"emisiones",'6.2_Resultats Espanya'!E$71:E199)/1000)-SUM(H$72:H198)</f>
        <v>0</v>
      </c>
      <c r="I199" s="507"/>
      <c r="J199" s="508">
        <f t="shared" si="4"/>
        <v>0</v>
      </c>
      <c r="K199" s="508"/>
      <c r="L199" s="508"/>
      <c r="M199" s="508"/>
      <c r="N199" s="507">
        <f>(DSUM('4.2_Electricitat Espanya'!$E$19:$J$41,"emisiones",'6.2_Resultats Espanya'!E$71:E199)/1000)-SUM(N$72:N198)</f>
        <v>0</v>
      </c>
      <c r="O199" s="507"/>
      <c r="P199" s="508">
        <f t="shared" si="5"/>
        <v>0</v>
      </c>
      <c r="Q199" s="508"/>
      <c r="R199" s="508"/>
      <c r="S199" s="400"/>
      <c r="T199" s="400"/>
      <c r="U199" s="400"/>
    </row>
    <row r="200" spans="5:21" x14ac:dyDescent="0.3">
      <c r="E200" s="197" t="str">
        <f>IF(Dades!C790="","",Dades!C790)</f>
        <v/>
      </c>
      <c r="F200" s="396">
        <f>(DSUM('1_Combustibles fòssils'!$E$17:$N$39,"emisiones",'6.2_Resultats Espanya'!E$71:E200)/1000)-SUM(F$72:F199)</f>
        <v>0</v>
      </c>
      <c r="G200" s="396">
        <f>(DSUM('2_Fluorats'!$E$11:$P$33,"emisiones",'6.2_Resultats Espanya'!E$71:E200)/1000)-SUM(G$72:G199)</f>
        <v>0</v>
      </c>
      <c r="H200" s="507">
        <f>(DSUM('3_Emissions processos'!$E$13:$L$35,"emisiones",'6.2_Resultats Espanya'!E$71:E200)/1000)-SUM(H$72:H199)</f>
        <v>0</v>
      </c>
      <c r="I200" s="507"/>
      <c r="J200" s="508">
        <f t="shared" si="4"/>
        <v>0</v>
      </c>
      <c r="K200" s="508"/>
      <c r="L200" s="508"/>
      <c r="M200" s="508"/>
      <c r="N200" s="507">
        <f>(DSUM('4.2_Electricitat Espanya'!$E$19:$J$41,"emisiones",'6.2_Resultats Espanya'!E$71:E200)/1000)-SUM(N$72:N199)</f>
        <v>0</v>
      </c>
      <c r="O200" s="507"/>
      <c r="P200" s="508">
        <f t="shared" si="5"/>
        <v>0</v>
      </c>
      <c r="Q200" s="508"/>
      <c r="R200" s="508"/>
      <c r="S200" s="400"/>
      <c r="T200" s="400"/>
      <c r="U200" s="400"/>
    </row>
    <row r="201" spans="5:21" x14ac:dyDescent="0.3">
      <c r="E201" s="197" t="str">
        <f>IF(Dades!C791="","",Dades!C791)</f>
        <v/>
      </c>
      <c r="F201" s="396">
        <f>(DSUM('1_Combustibles fòssils'!$E$17:$N$39,"emisiones",'6.2_Resultats Espanya'!E$71:E201)/1000)-SUM(F$72:F200)</f>
        <v>0</v>
      </c>
      <c r="G201" s="396">
        <f>(DSUM('2_Fluorats'!$E$11:$P$33,"emisiones",'6.2_Resultats Espanya'!E$71:E201)/1000)-SUM(G$72:G200)</f>
        <v>0</v>
      </c>
      <c r="H201" s="507">
        <f>(DSUM('3_Emissions processos'!$E$13:$L$35,"emisiones",'6.2_Resultats Espanya'!E$71:E201)/1000)-SUM(H$72:H200)</f>
        <v>0</v>
      </c>
      <c r="I201" s="507"/>
      <c r="J201" s="508">
        <f t="shared" si="4"/>
        <v>0</v>
      </c>
      <c r="K201" s="508"/>
      <c r="L201" s="508"/>
      <c r="M201" s="508"/>
      <c r="N201" s="507">
        <f>(DSUM('4.2_Electricitat Espanya'!$E$19:$J$41,"emisiones",'6.2_Resultats Espanya'!E$71:E201)/1000)-SUM(N$72:N200)</f>
        <v>0</v>
      </c>
      <c r="O201" s="507"/>
      <c r="P201" s="508">
        <f t="shared" si="5"/>
        <v>0</v>
      </c>
      <c r="Q201" s="508"/>
      <c r="R201" s="508"/>
      <c r="S201" s="400"/>
      <c r="T201" s="400"/>
      <c r="U201" s="400"/>
    </row>
    <row r="202" spans="5:21" x14ac:dyDescent="0.3">
      <c r="E202" s="197" t="str">
        <f>IF(Dades!C792="","",Dades!C792)</f>
        <v/>
      </c>
      <c r="F202" s="396">
        <f>(DSUM('1_Combustibles fòssils'!$E$17:$N$39,"emisiones",'6.2_Resultats Espanya'!E$71:E202)/1000)-SUM(F$72:F201)</f>
        <v>0</v>
      </c>
      <c r="G202" s="396">
        <f>(DSUM('2_Fluorats'!$E$11:$P$33,"emisiones",'6.2_Resultats Espanya'!E$71:E202)/1000)-SUM(G$72:G201)</f>
        <v>0</v>
      </c>
      <c r="H202" s="507">
        <f>(DSUM('3_Emissions processos'!$E$13:$L$35,"emisiones",'6.2_Resultats Espanya'!E$71:E202)/1000)-SUM(H$72:H201)</f>
        <v>0</v>
      </c>
      <c r="I202" s="507"/>
      <c r="J202" s="508">
        <f t="shared" ref="J202:J265" si="6">SUM(F202:I202)</f>
        <v>0</v>
      </c>
      <c r="K202" s="508"/>
      <c r="L202" s="508"/>
      <c r="M202" s="508"/>
      <c r="N202" s="507">
        <f>(DSUM('4.2_Electricitat Espanya'!$E$19:$J$41,"emisiones",'6.2_Resultats Espanya'!E$71:E202)/1000)-SUM(N$72:N201)</f>
        <v>0</v>
      </c>
      <c r="O202" s="507"/>
      <c r="P202" s="508">
        <f t="shared" ref="P202:P265" si="7">J202+N202</f>
        <v>0</v>
      </c>
      <c r="Q202" s="508"/>
      <c r="R202" s="508"/>
      <c r="S202" s="400"/>
      <c r="T202" s="400"/>
      <c r="U202" s="400"/>
    </row>
    <row r="203" spans="5:21" x14ac:dyDescent="0.3">
      <c r="E203" s="197" t="str">
        <f>IF(Dades!C793="","",Dades!C793)</f>
        <v/>
      </c>
      <c r="F203" s="396">
        <f>(DSUM('1_Combustibles fòssils'!$E$17:$N$39,"emisiones",'6.2_Resultats Espanya'!E$71:E203)/1000)-SUM(F$72:F202)</f>
        <v>0</v>
      </c>
      <c r="G203" s="396">
        <f>(DSUM('2_Fluorats'!$E$11:$P$33,"emisiones",'6.2_Resultats Espanya'!E$71:E203)/1000)-SUM(G$72:G202)</f>
        <v>0</v>
      </c>
      <c r="H203" s="507">
        <f>(DSUM('3_Emissions processos'!$E$13:$L$35,"emisiones",'6.2_Resultats Espanya'!E$71:E203)/1000)-SUM(H$72:H202)</f>
        <v>0</v>
      </c>
      <c r="I203" s="507"/>
      <c r="J203" s="508">
        <f t="shared" si="6"/>
        <v>0</v>
      </c>
      <c r="K203" s="508"/>
      <c r="L203" s="508"/>
      <c r="M203" s="508"/>
      <c r="N203" s="507">
        <f>(DSUM('4.2_Electricitat Espanya'!$E$19:$J$41,"emisiones",'6.2_Resultats Espanya'!E$71:E203)/1000)-SUM(N$72:N202)</f>
        <v>0</v>
      </c>
      <c r="O203" s="507"/>
      <c r="P203" s="508">
        <f t="shared" si="7"/>
        <v>0</v>
      </c>
      <c r="Q203" s="508"/>
      <c r="R203" s="508"/>
      <c r="S203" s="400"/>
      <c r="T203" s="400"/>
      <c r="U203" s="400"/>
    </row>
    <row r="204" spans="5:21" x14ac:dyDescent="0.3">
      <c r="E204" s="197" t="str">
        <f>IF(Dades!C794="","",Dades!C794)</f>
        <v/>
      </c>
      <c r="F204" s="396">
        <f>(DSUM('1_Combustibles fòssils'!$E$17:$N$39,"emisiones",'6.2_Resultats Espanya'!E$71:E204)/1000)-SUM(F$72:F203)</f>
        <v>0</v>
      </c>
      <c r="G204" s="396">
        <f>(DSUM('2_Fluorats'!$E$11:$P$33,"emisiones",'6.2_Resultats Espanya'!E$71:E204)/1000)-SUM(G$72:G203)</f>
        <v>0</v>
      </c>
      <c r="H204" s="507">
        <f>(DSUM('3_Emissions processos'!$E$13:$L$35,"emisiones",'6.2_Resultats Espanya'!E$71:E204)/1000)-SUM(H$72:H203)</f>
        <v>0</v>
      </c>
      <c r="I204" s="507"/>
      <c r="J204" s="508">
        <f t="shared" si="6"/>
        <v>0</v>
      </c>
      <c r="K204" s="508"/>
      <c r="L204" s="508"/>
      <c r="M204" s="508"/>
      <c r="N204" s="507">
        <f>(DSUM('4.2_Electricitat Espanya'!$E$19:$J$41,"emisiones",'6.2_Resultats Espanya'!E$71:E204)/1000)-SUM(N$72:N203)</f>
        <v>0</v>
      </c>
      <c r="O204" s="507"/>
      <c r="P204" s="508">
        <f t="shared" si="7"/>
        <v>0</v>
      </c>
      <c r="Q204" s="508"/>
      <c r="R204" s="508"/>
      <c r="S204" s="400"/>
      <c r="T204" s="400"/>
      <c r="U204" s="400"/>
    </row>
    <row r="205" spans="5:21" x14ac:dyDescent="0.3">
      <c r="E205" s="197" t="str">
        <f>IF(Dades!C795="","",Dades!C795)</f>
        <v/>
      </c>
      <c r="F205" s="396">
        <f>(DSUM('1_Combustibles fòssils'!$E$17:$N$39,"emisiones",'6.2_Resultats Espanya'!E$71:E205)/1000)-SUM(F$72:F204)</f>
        <v>0</v>
      </c>
      <c r="G205" s="396">
        <f>(DSUM('2_Fluorats'!$E$11:$P$33,"emisiones",'6.2_Resultats Espanya'!E$71:E205)/1000)-SUM(G$72:G204)</f>
        <v>0</v>
      </c>
      <c r="H205" s="507">
        <f>(DSUM('3_Emissions processos'!$E$13:$L$35,"emisiones",'6.2_Resultats Espanya'!E$71:E205)/1000)-SUM(H$72:H204)</f>
        <v>0</v>
      </c>
      <c r="I205" s="507"/>
      <c r="J205" s="508">
        <f t="shared" si="6"/>
        <v>0</v>
      </c>
      <c r="K205" s="508"/>
      <c r="L205" s="508"/>
      <c r="M205" s="508"/>
      <c r="N205" s="507">
        <f>(DSUM('4.2_Electricitat Espanya'!$E$19:$J$41,"emisiones",'6.2_Resultats Espanya'!E$71:E205)/1000)-SUM(N$72:N204)</f>
        <v>0</v>
      </c>
      <c r="O205" s="507"/>
      <c r="P205" s="508">
        <f t="shared" si="7"/>
        <v>0</v>
      </c>
      <c r="Q205" s="508"/>
      <c r="R205" s="508"/>
      <c r="S205" s="400"/>
      <c r="T205" s="400"/>
      <c r="U205" s="400"/>
    </row>
    <row r="206" spans="5:21" x14ac:dyDescent="0.3">
      <c r="E206" s="197" t="str">
        <f>IF(Dades!C796="","",Dades!C796)</f>
        <v/>
      </c>
      <c r="F206" s="396">
        <f>(DSUM('1_Combustibles fòssils'!$E$17:$N$39,"emisiones",'6.2_Resultats Espanya'!E$71:E206)/1000)-SUM(F$72:F205)</f>
        <v>0</v>
      </c>
      <c r="G206" s="396">
        <f>(DSUM('2_Fluorats'!$E$11:$P$33,"emisiones",'6.2_Resultats Espanya'!E$71:E206)/1000)-SUM(G$72:G205)</f>
        <v>0</v>
      </c>
      <c r="H206" s="507">
        <f>(DSUM('3_Emissions processos'!$E$13:$L$35,"emisiones",'6.2_Resultats Espanya'!E$71:E206)/1000)-SUM(H$72:H205)</f>
        <v>0</v>
      </c>
      <c r="I206" s="507"/>
      <c r="J206" s="508">
        <f t="shared" si="6"/>
        <v>0</v>
      </c>
      <c r="K206" s="508"/>
      <c r="L206" s="508"/>
      <c r="M206" s="508"/>
      <c r="N206" s="507">
        <f>(DSUM('4.2_Electricitat Espanya'!$E$19:$J$41,"emisiones",'6.2_Resultats Espanya'!E$71:E206)/1000)-SUM(N$72:N205)</f>
        <v>0</v>
      </c>
      <c r="O206" s="507"/>
      <c r="P206" s="508">
        <f t="shared" si="7"/>
        <v>0</v>
      </c>
      <c r="Q206" s="508"/>
      <c r="R206" s="508"/>
      <c r="S206" s="400"/>
      <c r="T206" s="400"/>
      <c r="U206" s="400"/>
    </row>
    <row r="207" spans="5:21" x14ac:dyDescent="0.3">
      <c r="E207" s="197" t="str">
        <f>IF(Dades!C797="","",Dades!C797)</f>
        <v/>
      </c>
      <c r="F207" s="396">
        <f>(DSUM('1_Combustibles fòssils'!$E$17:$N$39,"emisiones",'6.2_Resultats Espanya'!E$71:E207)/1000)-SUM(F$72:F206)</f>
        <v>0</v>
      </c>
      <c r="G207" s="396">
        <f>(DSUM('2_Fluorats'!$E$11:$P$33,"emisiones",'6.2_Resultats Espanya'!E$71:E207)/1000)-SUM(G$72:G206)</f>
        <v>0</v>
      </c>
      <c r="H207" s="507">
        <f>(DSUM('3_Emissions processos'!$E$13:$L$35,"emisiones",'6.2_Resultats Espanya'!E$71:E207)/1000)-SUM(H$72:H206)</f>
        <v>0</v>
      </c>
      <c r="I207" s="507"/>
      <c r="J207" s="508">
        <f t="shared" si="6"/>
        <v>0</v>
      </c>
      <c r="K207" s="508"/>
      <c r="L207" s="508"/>
      <c r="M207" s="508"/>
      <c r="N207" s="507">
        <f>(DSUM('4.2_Electricitat Espanya'!$E$19:$J$41,"emisiones",'6.2_Resultats Espanya'!E$71:E207)/1000)-SUM(N$72:N206)</f>
        <v>0</v>
      </c>
      <c r="O207" s="507"/>
      <c r="P207" s="508">
        <f t="shared" si="7"/>
        <v>0</v>
      </c>
      <c r="Q207" s="508"/>
      <c r="R207" s="508"/>
      <c r="S207" s="400"/>
      <c r="T207" s="400"/>
      <c r="U207" s="400"/>
    </row>
    <row r="208" spans="5:21" x14ac:dyDescent="0.3">
      <c r="E208" s="197" t="str">
        <f>IF(Dades!C798="","",Dades!C798)</f>
        <v/>
      </c>
      <c r="F208" s="396">
        <f>(DSUM('1_Combustibles fòssils'!$E$17:$N$39,"emisiones",'6.2_Resultats Espanya'!E$71:E208)/1000)-SUM(F$72:F207)</f>
        <v>0</v>
      </c>
      <c r="G208" s="396">
        <f>(DSUM('2_Fluorats'!$E$11:$P$33,"emisiones",'6.2_Resultats Espanya'!E$71:E208)/1000)-SUM(G$72:G207)</f>
        <v>0</v>
      </c>
      <c r="H208" s="507">
        <f>(DSUM('3_Emissions processos'!$E$13:$L$35,"emisiones",'6.2_Resultats Espanya'!E$71:E208)/1000)-SUM(H$72:H207)</f>
        <v>0</v>
      </c>
      <c r="I208" s="507"/>
      <c r="J208" s="508">
        <f t="shared" si="6"/>
        <v>0</v>
      </c>
      <c r="K208" s="508"/>
      <c r="L208" s="508"/>
      <c r="M208" s="508"/>
      <c r="N208" s="507">
        <f>(DSUM('4.2_Electricitat Espanya'!$E$19:$J$41,"emisiones",'6.2_Resultats Espanya'!E$71:E208)/1000)-SUM(N$72:N207)</f>
        <v>0</v>
      </c>
      <c r="O208" s="507"/>
      <c r="P208" s="508">
        <f t="shared" si="7"/>
        <v>0</v>
      </c>
      <c r="Q208" s="508"/>
      <c r="R208" s="508"/>
      <c r="S208" s="400"/>
      <c r="T208" s="400"/>
      <c r="U208" s="400"/>
    </row>
    <row r="209" spans="5:21" x14ac:dyDescent="0.3">
      <c r="E209" s="197" t="str">
        <f>IF(Dades!C799="","",Dades!C799)</f>
        <v/>
      </c>
      <c r="F209" s="396">
        <f>(DSUM('1_Combustibles fòssils'!$E$17:$N$39,"emisiones",'6.2_Resultats Espanya'!E$71:E209)/1000)-SUM(F$72:F208)</f>
        <v>0</v>
      </c>
      <c r="G209" s="396">
        <f>(DSUM('2_Fluorats'!$E$11:$P$33,"emisiones",'6.2_Resultats Espanya'!E$71:E209)/1000)-SUM(G$72:G208)</f>
        <v>0</v>
      </c>
      <c r="H209" s="507">
        <f>(DSUM('3_Emissions processos'!$E$13:$L$35,"emisiones",'6.2_Resultats Espanya'!E$71:E209)/1000)-SUM(H$72:H208)</f>
        <v>0</v>
      </c>
      <c r="I209" s="507"/>
      <c r="J209" s="508">
        <f t="shared" si="6"/>
        <v>0</v>
      </c>
      <c r="K209" s="508"/>
      <c r="L209" s="508"/>
      <c r="M209" s="508"/>
      <c r="N209" s="507">
        <f>(DSUM('4.2_Electricitat Espanya'!$E$19:$J$41,"emisiones",'6.2_Resultats Espanya'!E$71:E209)/1000)-SUM(N$72:N208)</f>
        <v>0</v>
      </c>
      <c r="O209" s="507"/>
      <c r="P209" s="508">
        <f t="shared" si="7"/>
        <v>0</v>
      </c>
      <c r="Q209" s="508"/>
      <c r="R209" s="508"/>
      <c r="S209" s="400"/>
      <c r="T209" s="400"/>
      <c r="U209" s="400"/>
    </row>
    <row r="210" spans="5:21" x14ac:dyDescent="0.3">
      <c r="E210" s="197" t="str">
        <f>IF(Dades!C800="","",Dades!C800)</f>
        <v/>
      </c>
      <c r="F210" s="396">
        <f>(DSUM('1_Combustibles fòssils'!$E$17:$N$39,"emisiones",'6.2_Resultats Espanya'!E$71:E210)/1000)-SUM(F$72:F209)</f>
        <v>0</v>
      </c>
      <c r="G210" s="396">
        <f>(DSUM('2_Fluorats'!$E$11:$P$33,"emisiones",'6.2_Resultats Espanya'!E$71:E210)/1000)-SUM(G$72:G209)</f>
        <v>0</v>
      </c>
      <c r="H210" s="507">
        <f>(DSUM('3_Emissions processos'!$E$13:$L$35,"emisiones",'6.2_Resultats Espanya'!E$71:E210)/1000)-SUM(H$72:H209)</f>
        <v>0</v>
      </c>
      <c r="I210" s="507"/>
      <c r="J210" s="508">
        <f t="shared" si="6"/>
        <v>0</v>
      </c>
      <c r="K210" s="508"/>
      <c r="L210" s="508"/>
      <c r="M210" s="508"/>
      <c r="N210" s="507">
        <f>(DSUM('4.2_Electricitat Espanya'!$E$19:$J$41,"emisiones",'6.2_Resultats Espanya'!E$71:E210)/1000)-SUM(N$72:N209)</f>
        <v>0</v>
      </c>
      <c r="O210" s="507"/>
      <c r="P210" s="508">
        <f t="shared" si="7"/>
        <v>0</v>
      </c>
      <c r="Q210" s="508"/>
      <c r="R210" s="508"/>
      <c r="S210" s="400"/>
      <c r="T210" s="400"/>
      <c r="U210" s="400"/>
    </row>
    <row r="211" spans="5:21" x14ac:dyDescent="0.3">
      <c r="E211" s="197" t="str">
        <f>IF(Dades!C801="","",Dades!C801)</f>
        <v/>
      </c>
      <c r="F211" s="396">
        <f>(DSUM('1_Combustibles fòssils'!$E$17:$N$39,"emisiones",'6.2_Resultats Espanya'!E$71:E211)/1000)-SUM(F$72:F210)</f>
        <v>0</v>
      </c>
      <c r="G211" s="396">
        <f>(DSUM('2_Fluorats'!$E$11:$P$33,"emisiones",'6.2_Resultats Espanya'!E$71:E211)/1000)-SUM(G$72:G210)</f>
        <v>0</v>
      </c>
      <c r="H211" s="507">
        <f>(DSUM('3_Emissions processos'!$E$13:$L$35,"emisiones",'6.2_Resultats Espanya'!E$71:E211)/1000)-SUM(H$72:H210)</f>
        <v>0</v>
      </c>
      <c r="I211" s="507"/>
      <c r="J211" s="508">
        <f t="shared" si="6"/>
        <v>0</v>
      </c>
      <c r="K211" s="508"/>
      <c r="L211" s="508"/>
      <c r="M211" s="508"/>
      <c r="N211" s="507">
        <f>(DSUM('4.2_Electricitat Espanya'!$E$19:$J$41,"emisiones",'6.2_Resultats Espanya'!E$71:E211)/1000)-SUM(N$72:N210)</f>
        <v>0</v>
      </c>
      <c r="O211" s="507"/>
      <c r="P211" s="508">
        <f t="shared" si="7"/>
        <v>0</v>
      </c>
      <c r="Q211" s="508"/>
      <c r="R211" s="508"/>
      <c r="S211" s="400"/>
      <c r="T211" s="400"/>
      <c r="U211" s="400"/>
    </row>
    <row r="212" spans="5:21" x14ac:dyDescent="0.3">
      <c r="E212" s="197" t="str">
        <f>IF(Dades!C802="","",Dades!C802)</f>
        <v/>
      </c>
      <c r="F212" s="396">
        <f>(DSUM('1_Combustibles fòssils'!$E$17:$N$39,"emisiones",'6.2_Resultats Espanya'!E$71:E212)/1000)-SUM(F$72:F211)</f>
        <v>0</v>
      </c>
      <c r="G212" s="396">
        <f>(DSUM('2_Fluorats'!$E$11:$P$33,"emisiones",'6.2_Resultats Espanya'!E$71:E212)/1000)-SUM(G$72:G211)</f>
        <v>0</v>
      </c>
      <c r="H212" s="507">
        <f>(DSUM('3_Emissions processos'!$E$13:$L$35,"emisiones",'6.2_Resultats Espanya'!E$71:E212)/1000)-SUM(H$72:H211)</f>
        <v>0</v>
      </c>
      <c r="I212" s="507"/>
      <c r="J212" s="508">
        <f t="shared" si="6"/>
        <v>0</v>
      </c>
      <c r="K212" s="508"/>
      <c r="L212" s="508"/>
      <c r="M212" s="508"/>
      <c r="N212" s="507">
        <f>(DSUM('4.2_Electricitat Espanya'!$E$19:$J$41,"emisiones",'6.2_Resultats Espanya'!E$71:E212)/1000)-SUM(N$72:N211)</f>
        <v>0</v>
      </c>
      <c r="O212" s="507"/>
      <c r="P212" s="508">
        <f t="shared" si="7"/>
        <v>0</v>
      </c>
      <c r="Q212" s="508"/>
      <c r="R212" s="508"/>
      <c r="S212" s="400"/>
      <c r="T212" s="400"/>
      <c r="U212" s="400"/>
    </row>
    <row r="213" spans="5:21" x14ac:dyDescent="0.3">
      <c r="E213" s="197" t="str">
        <f>IF(Dades!C803="","",Dades!C803)</f>
        <v/>
      </c>
      <c r="F213" s="396">
        <f>(DSUM('1_Combustibles fòssils'!$E$17:$N$39,"emisiones",'6.2_Resultats Espanya'!E$71:E213)/1000)-SUM(F$72:F212)</f>
        <v>0</v>
      </c>
      <c r="G213" s="396">
        <f>(DSUM('2_Fluorats'!$E$11:$P$33,"emisiones",'6.2_Resultats Espanya'!E$71:E213)/1000)-SUM(G$72:G212)</f>
        <v>0</v>
      </c>
      <c r="H213" s="507">
        <f>(DSUM('3_Emissions processos'!$E$13:$L$35,"emisiones",'6.2_Resultats Espanya'!E$71:E213)/1000)-SUM(H$72:H212)</f>
        <v>0</v>
      </c>
      <c r="I213" s="507"/>
      <c r="J213" s="508">
        <f t="shared" si="6"/>
        <v>0</v>
      </c>
      <c r="K213" s="508"/>
      <c r="L213" s="508"/>
      <c r="M213" s="508"/>
      <c r="N213" s="507">
        <f>(DSUM('4.2_Electricitat Espanya'!$E$19:$J$41,"emisiones",'6.2_Resultats Espanya'!E$71:E213)/1000)-SUM(N$72:N212)</f>
        <v>0</v>
      </c>
      <c r="O213" s="507"/>
      <c r="P213" s="508">
        <f t="shared" si="7"/>
        <v>0</v>
      </c>
      <c r="Q213" s="508"/>
      <c r="R213" s="508"/>
      <c r="S213" s="400"/>
      <c r="T213" s="400"/>
      <c r="U213" s="400"/>
    </row>
    <row r="214" spans="5:21" x14ac:dyDescent="0.3">
      <c r="E214" s="197" t="str">
        <f>IF(Dades!C804="","",Dades!C804)</f>
        <v/>
      </c>
      <c r="F214" s="396">
        <f>(DSUM('1_Combustibles fòssils'!$E$17:$N$39,"emisiones",'6.2_Resultats Espanya'!E$71:E214)/1000)-SUM(F$72:F213)</f>
        <v>0</v>
      </c>
      <c r="G214" s="396">
        <f>(DSUM('2_Fluorats'!$E$11:$P$33,"emisiones",'6.2_Resultats Espanya'!E$71:E214)/1000)-SUM(G$72:G213)</f>
        <v>0</v>
      </c>
      <c r="H214" s="507">
        <f>(DSUM('3_Emissions processos'!$E$13:$L$35,"emisiones",'6.2_Resultats Espanya'!E$71:E214)/1000)-SUM(H$72:H213)</f>
        <v>0</v>
      </c>
      <c r="I214" s="507"/>
      <c r="J214" s="508">
        <f t="shared" si="6"/>
        <v>0</v>
      </c>
      <c r="K214" s="508"/>
      <c r="L214" s="508"/>
      <c r="M214" s="508"/>
      <c r="N214" s="507">
        <f>(DSUM('4.2_Electricitat Espanya'!$E$19:$J$41,"emisiones",'6.2_Resultats Espanya'!E$71:E214)/1000)-SUM(N$72:N213)</f>
        <v>0</v>
      </c>
      <c r="O214" s="507"/>
      <c r="P214" s="508">
        <f t="shared" si="7"/>
        <v>0</v>
      </c>
      <c r="Q214" s="508"/>
      <c r="R214" s="508"/>
      <c r="S214" s="400"/>
      <c r="T214" s="400"/>
      <c r="U214" s="400"/>
    </row>
    <row r="215" spans="5:21" x14ac:dyDescent="0.3">
      <c r="E215" s="197" t="str">
        <f>IF(Dades!C805="","",Dades!C805)</f>
        <v/>
      </c>
      <c r="F215" s="396">
        <f>(DSUM('1_Combustibles fòssils'!$E$17:$N$39,"emisiones",'6.2_Resultats Espanya'!E$71:E215)/1000)-SUM(F$72:F214)</f>
        <v>0</v>
      </c>
      <c r="G215" s="396">
        <f>(DSUM('2_Fluorats'!$E$11:$P$33,"emisiones",'6.2_Resultats Espanya'!E$71:E215)/1000)-SUM(G$72:G214)</f>
        <v>0</v>
      </c>
      <c r="H215" s="507">
        <f>(DSUM('3_Emissions processos'!$E$13:$L$35,"emisiones",'6.2_Resultats Espanya'!E$71:E215)/1000)-SUM(H$72:H214)</f>
        <v>0</v>
      </c>
      <c r="I215" s="507"/>
      <c r="J215" s="508">
        <f t="shared" si="6"/>
        <v>0</v>
      </c>
      <c r="K215" s="508"/>
      <c r="L215" s="508"/>
      <c r="M215" s="508"/>
      <c r="N215" s="507">
        <f>(DSUM('4.2_Electricitat Espanya'!$E$19:$J$41,"emisiones",'6.2_Resultats Espanya'!E$71:E215)/1000)-SUM(N$72:N214)</f>
        <v>0</v>
      </c>
      <c r="O215" s="507"/>
      <c r="P215" s="508">
        <f t="shared" si="7"/>
        <v>0</v>
      </c>
      <c r="Q215" s="508"/>
      <c r="R215" s="508"/>
      <c r="S215" s="400"/>
      <c r="T215" s="400"/>
      <c r="U215" s="400"/>
    </row>
    <row r="216" spans="5:21" x14ac:dyDescent="0.3">
      <c r="E216" s="197" t="str">
        <f>IF(Dades!C806="","",Dades!C806)</f>
        <v/>
      </c>
      <c r="F216" s="396">
        <f>(DSUM('1_Combustibles fòssils'!$E$17:$N$39,"emisiones",'6.2_Resultats Espanya'!E$71:E216)/1000)-SUM(F$72:F215)</f>
        <v>0</v>
      </c>
      <c r="G216" s="396">
        <f>(DSUM('2_Fluorats'!$E$11:$P$33,"emisiones",'6.2_Resultats Espanya'!E$71:E216)/1000)-SUM(G$72:G215)</f>
        <v>0</v>
      </c>
      <c r="H216" s="507">
        <f>(DSUM('3_Emissions processos'!$E$13:$L$35,"emisiones",'6.2_Resultats Espanya'!E$71:E216)/1000)-SUM(H$72:H215)</f>
        <v>0</v>
      </c>
      <c r="I216" s="507"/>
      <c r="J216" s="508">
        <f t="shared" si="6"/>
        <v>0</v>
      </c>
      <c r="K216" s="508"/>
      <c r="L216" s="508"/>
      <c r="M216" s="508"/>
      <c r="N216" s="507">
        <f>(DSUM('4.2_Electricitat Espanya'!$E$19:$J$41,"emisiones",'6.2_Resultats Espanya'!E$71:E216)/1000)-SUM(N$72:N215)</f>
        <v>0</v>
      </c>
      <c r="O216" s="507"/>
      <c r="P216" s="508">
        <f t="shared" si="7"/>
        <v>0</v>
      </c>
      <c r="Q216" s="508"/>
      <c r="R216" s="508"/>
      <c r="S216" s="400"/>
      <c r="T216" s="400"/>
      <c r="U216" s="400"/>
    </row>
    <row r="217" spans="5:21" x14ac:dyDescent="0.3">
      <c r="E217" s="197" t="str">
        <f>IF(Dades!C807="","",Dades!C807)</f>
        <v/>
      </c>
      <c r="F217" s="396">
        <f>(DSUM('1_Combustibles fòssils'!$E$17:$N$39,"emisiones",'6.2_Resultats Espanya'!E$71:E217)/1000)-SUM(F$72:F216)</f>
        <v>0</v>
      </c>
      <c r="G217" s="396">
        <f>(DSUM('2_Fluorats'!$E$11:$P$33,"emisiones",'6.2_Resultats Espanya'!E$71:E217)/1000)-SUM(G$72:G216)</f>
        <v>0</v>
      </c>
      <c r="H217" s="507">
        <f>(DSUM('3_Emissions processos'!$E$13:$L$35,"emisiones",'6.2_Resultats Espanya'!E$71:E217)/1000)-SUM(H$72:H216)</f>
        <v>0</v>
      </c>
      <c r="I217" s="507"/>
      <c r="J217" s="508">
        <f t="shared" si="6"/>
        <v>0</v>
      </c>
      <c r="K217" s="508"/>
      <c r="L217" s="508"/>
      <c r="M217" s="508"/>
      <c r="N217" s="507">
        <f>(DSUM('4.2_Electricitat Espanya'!$E$19:$J$41,"emisiones",'6.2_Resultats Espanya'!E$71:E217)/1000)-SUM(N$72:N216)</f>
        <v>0</v>
      </c>
      <c r="O217" s="507"/>
      <c r="P217" s="508">
        <f t="shared" si="7"/>
        <v>0</v>
      </c>
      <c r="Q217" s="508"/>
      <c r="R217" s="508"/>
      <c r="S217" s="400"/>
      <c r="T217" s="400"/>
      <c r="U217" s="400"/>
    </row>
    <row r="218" spans="5:21" x14ac:dyDescent="0.3">
      <c r="E218" s="197" t="str">
        <f>IF(Dades!C808="","",Dades!C808)</f>
        <v/>
      </c>
      <c r="F218" s="396">
        <f>(DSUM('1_Combustibles fòssils'!$E$17:$N$39,"emisiones",'6.2_Resultats Espanya'!E$71:E218)/1000)-SUM(F$72:F217)</f>
        <v>0</v>
      </c>
      <c r="G218" s="396">
        <f>(DSUM('2_Fluorats'!$E$11:$P$33,"emisiones",'6.2_Resultats Espanya'!E$71:E218)/1000)-SUM(G$72:G217)</f>
        <v>0</v>
      </c>
      <c r="H218" s="507">
        <f>(DSUM('3_Emissions processos'!$E$13:$L$35,"emisiones",'6.2_Resultats Espanya'!E$71:E218)/1000)-SUM(H$72:H217)</f>
        <v>0</v>
      </c>
      <c r="I218" s="507"/>
      <c r="J218" s="508">
        <f t="shared" si="6"/>
        <v>0</v>
      </c>
      <c r="K218" s="508"/>
      <c r="L218" s="508"/>
      <c r="M218" s="508"/>
      <c r="N218" s="507">
        <f>(DSUM('4.2_Electricitat Espanya'!$E$19:$J$41,"emisiones",'6.2_Resultats Espanya'!E$71:E218)/1000)-SUM(N$72:N217)</f>
        <v>0</v>
      </c>
      <c r="O218" s="507"/>
      <c r="P218" s="508">
        <f t="shared" si="7"/>
        <v>0</v>
      </c>
      <c r="Q218" s="508"/>
      <c r="R218" s="508"/>
      <c r="S218" s="400"/>
      <c r="T218" s="400"/>
      <c r="U218" s="400"/>
    </row>
    <row r="219" spans="5:21" x14ac:dyDescent="0.3">
      <c r="E219" s="197" t="str">
        <f>IF(Dades!C809="","",Dades!C809)</f>
        <v/>
      </c>
      <c r="F219" s="396">
        <f>(DSUM('1_Combustibles fòssils'!$E$17:$N$39,"emisiones",'6.2_Resultats Espanya'!E$71:E219)/1000)-SUM(F$72:F218)</f>
        <v>0</v>
      </c>
      <c r="G219" s="396">
        <f>(DSUM('2_Fluorats'!$E$11:$P$33,"emisiones",'6.2_Resultats Espanya'!E$71:E219)/1000)-SUM(G$72:G218)</f>
        <v>0</v>
      </c>
      <c r="H219" s="507">
        <f>(DSUM('3_Emissions processos'!$E$13:$L$35,"emisiones",'6.2_Resultats Espanya'!E$71:E219)/1000)-SUM(H$72:H218)</f>
        <v>0</v>
      </c>
      <c r="I219" s="507"/>
      <c r="J219" s="508">
        <f t="shared" si="6"/>
        <v>0</v>
      </c>
      <c r="K219" s="508"/>
      <c r="L219" s="508"/>
      <c r="M219" s="508"/>
      <c r="N219" s="507">
        <f>(DSUM('4.2_Electricitat Espanya'!$E$19:$J$41,"emisiones",'6.2_Resultats Espanya'!E$71:E219)/1000)-SUM(N$72:N218)</f>
        <v>0</v>
      </c>
      <c r="O219" s="507"/>
      <c r="P219" s="508">
        <f t="shared" si="7"/>
        <v>0</v>
      </c>
      <c r="Q219" s="508"/>
      <c r="R219" s="508"/>
      <c r="S219" s="400"/>
      <c r="T219" s="400"/>
      <c r="U219" s="400"/>
    </row>
    <row r="220" spans="5:21" x14ac:dyDescent="0.3">
      <c r="E220" s="197" t="str">
        <f>IF(Dades!C810="","",Dades!C810)</f>
        <v/>
      </c>
      <c r="F220" s="396">
        <f>(DSUM('1_Combustibles fòssils'!$E$17:$N$39,"emisiones",'6.2_Resultats Espanya'!E$71:E220)/1000)-SUM(F$72:F219)</f>
        <v>0</v>
      </c>
      <c r="G220" s="396">
        <f>(DSUM('2_Fluorats'!$E$11:$P$33,"emisiones",'6.2_Resultats Espanya'!E$71:E220)/1000)-SUM(G$72:G219)</f>
        <v>0</v>
      </c>
      <c r="H220" s="507">
        <f>(DSUM('3_Emissions processos'!$E$13:$L$35,"emisiones",'6.2_Resultats Espanya'!E$71:E220)/1000)-SUM(H$72:H219)</f>
        <v>0</v>
      </c>
      <c r="I220" s="507"/>
      <c r="J220" s="508">
        <f t="shared" si="6"/>
        <v>0</v>
      </c>
      <c r="K220" s="508"/>
      <c r="L220" s="508"/>
      <c r="M220" s="508"/>
      <c r="N220" s="507">
        <f>(DSUM('4.2_Electricitat Espanya'!$E$19:$J$41,"emisiones",'6.2_Resultats Espanya'!E$71:E220)/1000)-SUM(N$72:N219)</f>
        <v>0</v>
      </c>
      <c r="O220" s="507"/>
      <c r="P220" s="508">
        <f t="shared" si="7"/>
        <v>0</v>
      </c>
      <c r="Q220" s="508"/>
      <c r="R220" s="508"/>
      <c r="S220" s="400"/>
      <c r="T220" s="400"/>
      <c r="U220" s="400"/>
    </row>
    <row r="221" spans="5:21" x14ac:dyDescent="0.3">
      <c r="E221" s="197" t="str">
        <f>IF(Dades!C811="","",Dades!C811)</f>
        <v/>
      </c>
      <c r="F221" s="396">
        <f>(DSUM('1_Combustibles fòssils'!$E$17:$N$39,"emisiones",'6.2_Resultats Espanya'!E$71:E221)/1000)-SUM(F$72:F220)</f>
        <v>0</v>
      </c>
      <c r="G221" s="396">
        <f>(DSUM('2_Fluorats'!$E$11:$P$33,"emisiones",'6.2_Resultats Espanya'!E$71:E221)/1000)-SUM(G$72:G220)</f>
        <v>0</v>
      </c>
      <c r="H221" s="507">
        <f>(DSUM('3_Emissions processos'!$E$13:$L$35,"emisiones",'6.2_Resultats Espanya'!E$71:E221)/1000)-SUM(H$72:H220)</f>
        <v>0</v>
      </c>
      <c r="I221" s="507"/>
      <c r="J221" s="508">
        <f t="shared" si="6"/>
        <v>0</v>
      </c>
      <c r="K221" s="508"/>
      <c r="L221" s="508"/>
      <c r="M221" s="508"/>
      <c r="N221" s="507">
        <f>(DSUM('4.2_Electricitat Espanya'!$E$19:$J$41,"emisiones",'6.2_Resultats Espanya'!E$71:E221)/1000)-SUM(N$72:N220)</f>
        <v>0</v>
      </c>
      <c r="O221" s="507"/>
      <c r="P221" s="508">
        <f t="shared" si="7"/>
        <v>0</v>
      </c>
      <c r="Q221" s="508"/>
      <c r="R221" s="508"/>
      <c r="S221" s="400"/>
      <c r="T221" s="400"/>
      <c r="U221" s="400"/>
    </row>
    <row r="222" spans="5:21" x14ac:dyDescent="0.3">
      <c r="E222" s="197" t="str">
        <f>IF(Dades!C812="","",Dades!C812)</f>
        <v/>
      </c>
      <c r="F222" s="396">
        <f>(DSUM('1_Combustibles fòssils'!$E$17:$N$39,"emisiones",'6.2_Resultats Espanya'!E$71:E222)/1000)-SUM(F$72:F221)</f>
        <v>0</v>
      </c>
      <c r="G222" s="396">
        <f>(DSUM('2_Fluorats'!$E$11:$P$33,"emisiones",'6.2_Resultats Espanya'!E$71:E222)/1000)-SUM(G$72:G221)</f>
        <v>0</v>
      </c>
      <c r="H222" s="507">
        <f>(DSUM('3_Emissions processos'!$E$13:$L$35,"emisiones",'6.2_Resultats Espanya'!E$71:E222)/1000)-SUM(H$72:H221)</f>
        <v>0</v>
      </c>
      <c r="I222" s="507"/>
      <c r="J222" s="508">
        <f t="shared" si="6"/>
        <v>0</v>
      </c>
      <c r="K222" s="508"/>
      <c r="L222" s="508"/>
      <c r="M222" s="508"/>
      <c r="N222" s="507">
        <f>(DSUM('4.2_Electricitat Espanya'!$E$19:$J$41,"emisiones",'6.2_Resultats Espanya'!E$71:E222)/1000)-SUM(N$72:N221)</f>
        <v>0</v>
      </c>
      <c r="O222" s="507"/>
      <c r="P222" s="508">
        <f t="shared" si="7"/>
        <v>0</v>
      </c>
      <c r="Q222" s="508"/>
      <c r="R222" s="508"/>
      <c r="S222" s="400"/>
      <c r="T222" s="400"/>
      <c r="U222" s="400"/>
    </row>
    <row r="223" spans="5:21" x14ac:dyDescent="0.3">
      <c r="E223" s="197" t="str">
        <f>IF(Dades!C813="","",Dades!C813)</f>
        <v/>
      </c>
      <c r="F223" s="396">
        <f>(DSUM('1_Combustibles fòssils'!$E$17:$N$39,"emisiones",'6.2_Resultats Espanya'!E$71:E223)/1000)-SUM(F$72:F222)</f>
        <v>0</v>
      </c>
      <c r="G223" s="396">
        <f>(DSUM('2_Fluorats'!$E$11:$P$33,"emisiones",'6.2_Resultats Espanya'!E$71:E223)/1000)-SUM(G$72:G222)</f>
        <v>0</v>
      </c>
      <c r="H223" s="507">
        <f>(DSUM('3_Emissions processos'!$E$13:$L$35,"emisiones",'6.2_Resultats Espanya'!E$71:E223)/1000)-SUM(H$72:H222)</f>
        <v>0</v>
      </c>
      <c r="I223" s="507"/>
      <c r="J223" s="508">
        <f t="shared" si="6"/>
        <v>0</v>
      </c>
      <c r="K223" s="508"/>
      <c r="L223" s="508"/>
      <c r="M223" s="508"/>
      <c r="N223" s="507">
        <f>(DSUM('4.2_Electricitat Espanya'!$E$19:$J$41,"emisiones",'6.2_Resultats Espanya'!E$71:E223)/1000)-SUM(N$72:N222)</f>
        <v>0</v>
      </c>
      <c r="O223" s="507"/>
      <c r="P223" s="508">
        <f t="shared" si="7"/>
        <v>0</v>
      </c>
      <c r="Q223" s="508"/>
      <c r="R223" s="508"/>
      <c r="S223" s="400"/>
      <c r="T223" s="400"/>
      <c r="U223" s="400"/>
    </row>
    <row r="224" spans="5:21" x14ac:dyDescent="0.3">
      <c r="E224" s="197" t="str">
        <f>IF(Dades!C814="","",Dades!C814)</f>
        <v/>
      </c>
      <c r="F224" s="396">
        <f>(DSUM('1_Combustibles fòssils'!$E$17:$N$39,"emisiones",'6.2_Resultats Espanya'!E$71:E224)/1000)-SUM(F$72:F223)</f>
        <v>0</v>
      </c>
      <c r="G224" s="396">
        <f>(DSUM('2_Fluorats'!$E$11:$P$33,"emisiones",'6.2_Resultats Espanya'!E$71:E224)/1000)-SUM(G$72:G223)</f>
        <v>0</v>
      </c>
      <c r="H224" s="507">
        <f>(DSUM('3_Emissions processos'!$E$13:$L$35,"emisiones",'6.2_Resultats Espanya'!E$71:E224)/1000)-SUM(H$72:H223)</f>
        <v>0</v>
      </c>
      <c r="I224" s="507"/>
      <c r="J224" s="508">
        <f t="shared" si="6"/>
        <v>0</v>
      </c>
      <c r="K224" s="508"/>
      <c r="L224" s="508"/>
      <c r="M224" s="508"/>
      <c r="N224" s="507">
        <f>(DSUM('4.2_Electricitat Espanya'!$E$19:$J$41,"emisiones",'6.2_Resultats Espanya'!E$71:E224)/1000)-SUM(N$72:N223)</f>
        <v>0</v>
      </c>
      <c r="O224" s="507"/>
      <c r="P224" s="508">
        <f t="shared" si="7"/>
        <v>0</v>
      </c>
      <c r="Q224" s="508"/>
      <c r="R224" s="508"/>
      <c r="S224" s="400"/>
      <c r="T224" s="400"/>
      <c r="U224" s="400"/>
    </row>
    <row r="225" spans="5:21" x14ac:dyDescent="0.3">
      <c r="E225" s="197" t="str">
        <f>IF(Dades!C815="","",Dades!C815)</f>
        <v/>
      </c>
      <c r="F225" s="396">
        <f>(DSUM('1_Combustibles fòssils'!$E$17:$N$39,"emisiones",'6.2_Resultats Espanya'!E$71:E225)/1000)-SUM(F$72:F224)</f>
        <v>0</v>
      </c>
      <c r="G225" s="396">
        <f>(DSUM('2_Fluorats'!$E$11:$P$33,"emisiones",'6.2_Resultats Espanya'!E$71:E225)/1000)-SUM(G$72:G224)</f>
        <v>0</v>
      </c>
      <c r="H225" s="507">
        <f>(DSUM('3_Emissions processos'!$E$13:$L$35,"emisiones",'6.2_Resultats Espanya'!E$71:E225)/1000)-SUM(H$72:H224)</f>
        <v>0</v>
      </c>
      <c r="I225" s="507"/>
      <c r="J225" s="508">
        <f t="shared" si="6"/>
        <v>0</v>
      </c>
      <c r="K225" s="508"/>
      <c r="L225" s="508"/>
      <c r="M225" s="508"/>
      <c r="N225" s="507">
        <f>(DSUM('4.2_Electricitat Espanya'!$E$19:$J$41,"emisiones",'6.2_Resultats Espanya'!E$71:E225)/1000)-SUM(N$72:N224)</f>
        <v>0</v>
      </c>
      <c r="O225" s="507"/>
      <c r="P225" s="508">
        <f t="shared" si="7"/>
        <v>0</v>
      </c>
      <c r="Q225" s="508"/>
      <c r="R225" s="508"/>
      <c r="S225" s="400"/>
      <c r="T225" s="400"/>
      <c r="U225" s="400"/>
    </row>
    <row r="226" spans="5:21" x14ac:dyDescent="0.3">
      <c r="E226" s="197" t="str">
        <f>IF(Dades!C816="","",Dades!C816)</f>
        <v/>
      </c>
      <c r="F226" s="396">
        <f>(DSUM('1_Combustibles fòssils'!$E$17:$N$39,"emisiones",'6.2_Resultats Espanya'!E$71:E226)/1000)-SUM(F$72:F225)</f>
        <v>0</v>
      </c>
      <c r="G226" s="396">
        <f>(DSUM('2_Fluorats'!$E$11:$P$33,"emisiones",'6.2_Resultats Espanya'!E$71:E226)/1000)-SUM(G$72:G225)</f>
        <v>0</v>
      </c>
      <c r="H226" s="507">
        <f>(DSUM('3_Emissions processos'!$E$13:$L$35,"emisiones",'6.2_Resultats Espanya'!E$71:E226)/1000)-SUM(H$72:H225)</f>
        <v>0</v>
      </c>
      <c r="I226" s="507"/>
      <c r="J226" s="508">
        <f t="shared" si="6"/>
        <v>0</v>
      </c>
      <c r="K226" s="508"/>
      <c r="L226" s="508"/>
      <c r="M226" s="508"/>
      <c r="N226" s="507">
        <f>(DSUM('4.2_Electricitat Espanya'!$E$19:$J$41,"emisiones",'6.2_Resultats Espanya'!E$71:E226)/1000)-SUM(N$72:N225)</f>
        <v>0</v>
      </c>
      <c r="O226" s="507"/>
      <c r="P226" s="508">
        <f t="shared" si="7"/>
        <v>0</v>
      </c>
      <c r="Q226" s="508"/>
      <c r="R226" s="508"/>
      <c r="S226" s="400"/>
      <c r="T226" s="400"/>
      <c r="U226" s="400"/>
    </row>
    <row r="227" spans="5:21" x14ac:dyDescent="0.3">
      <c r="E227" s="197" t="str">
        <f>IF(Dades!C817="","",Dades!C817)</f>
        <v/>
      </c>
      <c r="F227" s="396">
        <f>(DSUM('1_Combustibles fòssils'!$E$17:$N$39,"emisiones",'6.2_Resultats Espanya'!E$71:E227)/1000)-SUM(F$72:F226)</f>
        <v>0</v>
      </c>
      <c r="G227" s="396">
        <f>(DSUM('2_Fluorats'!$E$11:$P$33,"emisiones",'6.2_Resultats Espanya'!E$71:E227)/1000)-SUM(G$72:G226)</f>
        <v>0</v>
      </c>
      <c r="H227" s="507">
        <f>(DSUM('3_Emissions processos'!$E$13:$L$35,"emisiones",'6.2_Resultats Espanya'!E$71:E227)/1000)-SUM(H$72:H226)</f>
        <v>0</v>
      </c>
      <c r="I227" s="507"/>
      <c r="J227" s="508">
        <f t="shared" si="6"/>
        <v>0</v>
      </c>
      <c r="K227" s="508"/>
      <c r="L227" s="508"/>
      <c r="M227" s="508"/>
      <c r="N227" s="507">
        <f>(DSUM('4.2_Electricitat Espanya'!$E$19:$J$41,"emisiones",'6.2_Resultats Espanya'!E$71:E227)/1000)-SUM(N$72:N226)</f>
        <v>0</v>
      </c>
      <c r="O227" s="507"/>
      <c r="P227" s="508">
        <f t="shared" si="7"/>
        <v>0</v>
      </c>
      <c r="Q227" s="508"/>
      <c r="R227" s="508"/>
      <c r="S227" s="400"/>
      <c r="T227" s="400"/>
      <c r="U227" s="400"/>
    </row>
    <row r="228" spans="5:21" x14ac:dyDescent="0.3">
      <c r="E228" s="197" t="str">
        <f>IF(Dades!C818="","",Dades!C818)</f>
        <v/>
      </c>
      <c r="F228" s="396">
        <f>(DSUM('1_Combustibles fòssils'!$E$17:$N$39,"emisiones",'6.2_Resultats Espanya'!E$71:E228)/1000)-SUM(F$72:F227)</f>
        <v>0</v>
      </c>
      <c r="G228" s="396">
        <f>(DSUM('2_Fluorats'!$E$11:$P$33,"emisiones",'6.2_Resultats Espanya'!E$71:E228)/1000)-SUM(G$72:G227)</f>
        <v>0</v>
      </c>
      <c r="H228" s="507">
        <f>(DSUM('3_Emissions processos'!$E$13:$L$35,"emisiones",'6.2_Resultats Espanya'!E$71:E228)/1000)-SUM(H$72:H227)</f>
        <v>0</v>
      </c>
      <c r="I228" s="507"/>
      <c r="J228" s="508">
        <f t="shared" si="6"/>
        <v>0</v>
      </c>
      <c r="K228" s="508"/>
      <c r="L228" s="508"/>
      <c r="M228" s="508"/>
      <c r="N228" s="507">
        <f>(DSUM('4.2_Electricitat Espanya'!$E$19:$J$41,"emisiones",'6.2_Resultats Espanya'!E$71:E228)/1000)-SUM(N$72:N227)</f>
        <v>0</v>
      </c>
      <c r="O228" s="507"/>
      <c r="P228" s="508">
        <f t="shared" si="7"/>
        <v>0</v>
      </c>
      <c r="Q228" s="508"/>
      <c r="R228" s="508"/>
      <c r="S228" s="400"/>
      <c r="T228" s="400"/>
      <c r="U228" s="400"/>
    </row>
    <row r="229" spans="5:21" x14ac:dyDescent="0.3">
      <c r="E229" s="197" t="str">
        <f>IF(Dades!C819="","",Dades!C819)</f>
        <v/>
      </c>
      <c r="F229" s="396">
        <f>(DSUM('1_Combustibles fòssils'!$E$17:$N$39,"emisiones",'6.2_Resultats Espanya'!E$71:E229)/1000)-SUM(F$72:F228)</f>
        <v>0</v>
      </c>
      <c r="G229" s="396">
        <f>(DSUM('2_Fluorats'!$E$11:$P$33,"emisiones",'6.2_Resultats Espanya'!E$71:E229)/1000)-SUM(G$72:G228)</f>
        <v>0</v>
      </c>
      <c r="H229" s="507">
        <f>(DSUM('3_Emissions processos'!$E$13:$L$35,"emisiones",'6.2_Resultats Espanya'!E$71:E229)/1000)-SUM(H$72:H228)</f>
        <v>0</v>
      </c>
      <c r="I229" s="507"/>
      <c r="J229" s="508">
        <f t="shared" si="6"/>
        <v>0</v>
      </c>
      <c r="K229" s="508"/>
      <c r="L229" s="508"/>
      <c r="M229" s="508"/>
      <c r="N229" s="507">
        <f>(DSUM('4.2_Electricitat Espanya'!$E$19:$J$41,"emisiones",'6.2_Resultats Espanya'!E$71:E229)/1000)-SUM(N$72:N228)</f>
        <v>0</v>
      </c>
      <c r="O229" s="507"/>
      <c r="P229" s="508">
        <f t="shared" si="7"/>
        <v>0</v>
      </c>
      <c r="Q229" s="508"/>
      <c r="R229" s="508"/>
      <c r="S229" s="400"/>
      <c r="T229" s="400"/>
      <c r="U229" s="400"/>
    </row>
    <row r="230" spans="5:21" x14ac:dyDescent="0.3">
      <c r="E230" s="197" t="str">
        <f>IF(Dades!C820="","",Dades!C820)</f>
        <v/>
      </c>
      <c r="F230" s="396">
        <f>(DSUM('1_Combustibles fòssils'!$E$17:$N$39,"emisiones",'6.2_Resultats Espanya'!E$71:E230)/1000)-SUM(F$72:F229)</f>
        <v>0</v>
      </c>
      <c r="G230" s="396">
        <f>(DSUM('2_Fluorats'!$E$11:$P$33,"emisiones",'6.2_Resultats Espanya'!E$71:E230)/1000)-SUM(G$72:G229)</f>
        <v>0</v>
      </c>
      <c r="H230" s="507">
        <f>(DSUM('3_Emissions processos'!$E$13:$L$35,"emisiones",'6.2_Resultats Espanya'!E$71:E230)/1000)-SUM(H$72:H229)</f>
        <v>0</v>
      </c>
      <c r="I230" s="507"/>
      <c r="J230" s="508">
        <f t="shared" si="6"/>
        <v>0</v>
      </c>
      <c r="K230" s="508"/>
      <c r="L230" s="508"/>
      <c r="M230" s="508"/>
      <c r="N230" s="507">
        <f>(DSUM('4.2_Electricitat Espanya'!$E$19:$J$41,"emisiones",'6.2_Resultats Espanya'!E$71:E230)/1000)-SUM(N$72:N229)</f>
        <v>0</v>
      </c>
      <c r="O230" s="507"/>
      <c r="P230" s="508">
        <f t="shared" si="7"/>
        <v>0</v>
      </c>
      <c r="Q230" s="508"/>
      <c r="R230" s="508"/>
      <c r="S230" s="400"/>
      <c r="T230" s="400"/>
      <c r="U230" s="400"/>
    </row>
    <row r="231" spans="5:21" x14ac:dyDescent="0.3">
      <c r="E231" s="197" t="str">
        <f>IF(Dades!C821="","",Dades!C821)</f>
        <v/>
      </c>
      <c r="F231" s="396">
        <f>(DSUM('1_Combustibles fòssils'!$E$17:$N$39,"emisiones",'6.2_Resultats Espanya'!E$71:E231)/1000)-SUM(F$72:F230)</f>
        <v>0</v>
      </c>
      <c r="G231" s="396">
        <f>(DSUM('2_Fluorats'!$E$11:$P$33,"emisiones",'6.2_Resultats Espanya'!E$71:E231)/1000)-SUM(G$72:G230)</f>
        <v>0</v>
      </c>
      <c r="H231" s="507">
        <f>(DSUM('3_Emissions processos'!$E$13:$L$35,"emisiones",'6.2_Resultats Espanya'!E$71:E231)/1000)-SUM(H$72:H230)</f>
        <v>0</v>
      </c>
      <c r="I231" s="507"/>
      <c r="J231" s="508">
        <f t="shared" si="6"/>
        <v>0</v>
      </c>
      <c r="K231" s="508"/>
      <c r="L231" s="508"/>
      <c r="M231" s="508"/>
      <c r="N231" s="507">
        <f>(DSUM('4.2_Electricitat Espanya'!$E$19:$J$41,"emisiones",'6.2_Resultats Espanya'!E$71:E231)/1000)-SUM(N$72:N230)</f>
        <v>0</v>
      </c>
      <c r="O231" s="507"/>
      <c r="P231" s="508">
        <f t="shared" si="7"/>
        <v>0</v>
      </c>
      <c r="Q231" s="508"/>
      <c r="R231" s="508"/>
      <c r="S231" s="400"/>
      <c r="T231" s="400"/>
      <c r="U231" s="400"/>
    </row>
    <row r="232" spans="5:21" x14ac:dyDescent="0.3">
      <c r="E232" s="197" t="str">
        <f>IF(Dades!C822="","",Dades!C822)</f>
        <v/>
      </c>
      <c r="F232" s="396">
        <f>(DSUM('1_Combustibles fòssils'!$E$17:$N$39,"emisiones",'6.2_Resultats Espanya'!E$71:E232)/1000)-SUM(F$72:F231)</f>
        <v>0</v>
      </c>
      <c r="G232" s="396">
        <f>(DSUM('2_Fluorats'!$E$11:$P$33,"emisiones",'6.2_Resultats Espanya'!E$71:E232)/1000)-SUM(G$72:G231)</f>
        <v>0</v>
      </c>
      <c r="H232" s="507">
        <f>(DSUM('3_Emissions processos'!$E$13:$L$35,"emisiones",'6.2_Resultats Espanya'!E$71:E232)/1000)-SUM(H$72:H231)</f>
        <v>0</v>
      </c>
      <c r="I232" s="507"/>
      <c r="J232" s="508">
        <f t="shared" si="6"/>
        <v>0</v>
      </c>
      <c r="K232" s="508"/>
      <c r="L232" s="508"/>
      <c r="M232" s="508"/>
      <c r="N232" s="507">
        <f>(DSUM('4.2_Electricitat Espanya'!$E$19:$J$41,"emisiones",'6.2_Resultats Espanya'!E$71:E232)/1000)-SUM(N$72:N231)</f>
        <v>0</v>
      </c>
      <c r="O232" s="507"/>
      <c r="P232" s="508">
        <f t="shared" si="7"/>
        <v>0</v>
      </c>
      <c r="Q232" s="508"/>
      <c r="R232" s="508"/>
      <c r="S232" s="400"/>
      <c r="T232" s="400"/>
      <c r="U232" s="400"/>
    </row>
    <row r="233" spans="5:21" x14ac:dyDescent="0.3">
      <c r="E233" s="197" t="str">
        <f>IF(Dades!C823="","",Dades!C823)</f>
        <v/>
      </c>
      <c r="F233" s="396">
        <f>(DSUM('1_Combustibles fòssils'!$E$17:$N$39,"emisiones",'6.2_Resultats Espanya'!E$71:E233)/1000)-SUM(F$72:F232)</f>
        <v>0</v>
      </c>
      <c r="G233" s="396">
        <f>(DSUM('2_Fluorats'!$E$11:$P$33,"emisiones",'6.2_Resultats Espanya'!E$71:E233)/1000)-SUM(G$72:G232)</f>
        <v>0</v>
      </c>
      <c r="H233" s="507">
        <f>(DSUM('3_Emissions processos'!$E$13:$L$35,"emisiones",'6.2_Resultats Espanya'!E$71:E233)/1000)-SUM(H$72:H232)</f>
        <v>0</v>
      </c>
      <c r="I233" s="507"/>
      <c r="J233" s="508">
        <f t="shared" si="6"/>
        <v>0</v>
      </c>
      <c r="K233" s="508"/>
      <c r="L233" s="508"/>
      <c r="M233" s="508"/>
      <c r="N233" s="507">
        <f>(DSUM('4.2_Electricitat Espanya'!$E$19:$J$41,"emisiones",'6.2_Resultats Espanya'!E$71:E233)/1000)-SUM(N$72:N232)</f>
        <v>0</v>
      </c>
      <c r="O233" s="507"/>
      <c r="P233" s="508">
        <f t="shared" si="7"/>
        <v>0</v>
      </c>
      <c r="Q233" s="508"/>
      <c r="R233" s="508"/>
      <c r="S233" s="400"/>
      <c r="T233" s="400"/>
      <c r="U233" s="400"/>
    </row>
    <row r="234" spans="5:21" x14ac:dyDescent="0.3">
      <c r="E234" s="197" t="str">
        <f>IF(Dades!C824="","",Dades!C824)</f>
        <v/>
      </c>
      <c r="F234" s="396">
        <f>(DSUM('1_Combustibles fòssils'!$E$17:$N$39,"emisiones",'6.2_Resultats Espanya'!E$71:E234)/1000)-SUM(F$72:F233)</f>
        <v>0</v>
      </c>
      <c r="G234" s="396">
        <f>(DSUM('2_Fluorats'!$E$11:$P$33,"emisiones",'6.2_Resultats Espanya'!E$71:E234)/1000)-SUM(G$72:G233)</f>
        <v>0</v>
      </c>
      <c r="H234" s="507">
        <f>(DSUM('3_Emissions processos'!$E$13:$L$35,"emisiones",'6.2_Resultats Espanya'!E$71:E234)/1000)-SUM(H$72:H233)</f>
        <v>0</v>
      </c>
      <c r="I234" s="507"/>
      <c r="J234" s="508">
        <f t="shared" si="6"/>
        <v>0</v>
      </c>
      <c r="K234" s="508"/>
      <c r="L234" s="508"/>
      <c r="M234" s="508"/>
      <c r="N234" s="507">
        <f>(DSUM('4.2_Electricitat Espanya'!$E$19:$J$41,"emisiones",'6.2_Resultats Espanya'!E$71:E234)/1000)-SUM(N$72:N233)</f>
        <v>0</v>
      </c>
      <c r="O234" s="507"/>
      <c r="P234" s="508">
        <f t="shared" si="7"/>
        <v>0</v>
      </c>
      <c r="Q234" s="508"/>
      <c r="R234" s="508"/>
      <c r="S234" s="400"/>
      <c r="T234" s="400"/>
      <c r="U234" s="400"/>
    </row>
    <row r="235" spans="5:21" x14ac:dyDescent="0.3">
      <c r="E235" s="197" t="str">
        <f>IF(Dades!C825="","",Dades!C825)</f>
        <v/>
      </c>
      <c r="F235" s="396">
        <f>(DSUM('1_Combustibles fòssils'!$E$17:$N$39,"emisiones",'6.2_Resultats Espanya'!E$71:E235)/1000)-SUM(F$72:F234)</f>
        <v>0</v>
      </c>
      <c r="G235" s="396">
        <f>(DSUM('2_Fluorats'!$E$11:$P$33,"emisiones",'6.2_Resultats Espanya'!E$71:E235)/1000)-SUM(G$72:G234)</f>
        <v>0</v>
      </c>
      <c r="H235" s="507">
        <f>(DSUM('3_Emissions processos'!$E$13:$L$35,"emisiones",'6.2_Resultats Espanya'!E$71:E235)/1000)-SUM(H$72:H234)</f>
        <v>0</v>
      </c>
      <c r="I235" s="507"/>
      <c r="J235" s="508">
        <f t="shared" si="6"/>
        <v>0</v>
      </c>
      <c r="K235" s="508"/>
      <c r="L235" s="508"/>
      <c r="M235" s="508"/>
      <c r="N235" s="507">
        <f>(DSUM('4.2_Electricitat Espanya'!$E$19:$J$41,"emisiones",'6.2_Resultats Espanya'!E$71:E235)/1000)-SUM(N$72:N234)</f>
        <v>0</v>
      </c>
      <c r="O235" s="507"/>
      <c r="P235" s="508">
        <f t="shared" si="7"/>
        <v>0</v>
      </c>
      <c r="Q235" s="508"/>
      <c r="R235" s="508"/>
      <c r="S235" s="400"/>
      <c r="T235" s="400"/>
      <c r="U235" s="400"/>
    </row>
    <row r="236" spans="5:21" x14ac:dyDescent="0.3">
      <c r="E236" s="197" t="str">
        <f>IF(Dades!C826="","",Dades!C826)</f>
        <v/>
      </c>
      <c r="F236" s="396">
        <f>(DSUM('1_Combustibles fòssils'!$E$17:$N$39,"emisiones",'6.2_Resultats Espanya'!E$71:E236)/1000)-SUM(F$72:F235)</f>
        <v>0</v>
      </c>
      <c r="G236" s="396">
        <f>(DSUM('2_Fluorats'!$E$11:$P$33,"emisiones",'6.2_Resultats Espanya'!E$71:E236)/1000)-SUM(G$72:G235)</f>
        <v>0</v>
      </c>
      <c r="H236" s="507">
        <f>(DSUM('3_Emissions processos'!$E$13:$L$35,"emisiones",'6.2_Resultats Espanya'!E$71:E236)/1000)-SUM(H$72:H235)</f>
        <v>0</v>
      </c>
      <c r="I236" s="507"/>
      <c r="J236" s="508">
        <f t="shared" si="6"/>
        <v>0</v>
      </c>
      <c r="K236" s="508"/>
      <c r="L236" s="508"/>
      <c r="M236" s="508"/>
      <c r="N236" s="507">
        <f>(DSUM('4.2_Electricitat Espanya'!$E$19:$J$41,"emisiones",'6.2_Resultats Espanya'!E$71:E236)/1000)-SUM(N$72:N235)</f>
        <v>0</v>
      </c>
      <c r="O236" s="507"/>
      <c r="P236" s="508">
        <f t="shared" si="7"/>
        <v>0</v>
      </c>
      <c r="Q236" s="508"/>
      <c r="R236" s="508"/>
      <c r="S236" s="400"/>
      <c r="T236" s="400"/>
      <c r="U236" s="400"/>
    </row>
    <row r="237" spans="5:21" x14ac:dyDescent="0.3">
      <c r="E237" s="197" t="str">
        <f>IF(Dades!C827="","",Dades!C827)</f>
        <v/>
      </c>
      <c r="F237" s="396">
        <f>(DSUM('1_Combustibles fòssils'!$E$17:$N$39,"emisiones",'6.2_Resultats Espanya'!E$71:E237)/1000)-SUM(F$72:F236)</f>
        <v>0</v>
      </c>
      <c r="G237" s="396">
        <f>(DSUM('2_Fluorats'!$E$11:$P$33,"emisiones",'6.2_Resultats Espanya'!E$71:E237)/1000)-SUM(G$72:G236)</f>
        <v>0</v>
      </c>
      <c r="H237" s="507">
        <f>(DSUM('3_Emissions processos'!$E$13:$L$35,"emisiones",'6.2_Resultats Espanya'!E$71:E237)/1000)-SUM(H$72:H236)</f>
        <v>0</v>
      </c>
      <c r="I237" s="507"/>
      <c r="J237" s="508">
        <f t="shared" si="6"/>
        <v>0</v>
      </c>
      <c r="K237" s="508"/>
      <c r="L237" s="508"/>
      <c r="M237" s="508"/>
      <c r="N237" s="507">
        <f>(DSUM('4.2_Electricitat Espanya'!$E$19:$J$41,"emisiones",'6.2_Resultats Espanya'!E$71:E237)/1000)-SUM(N$72:N236)</f>
        <v>0</v>
      </c>
      <c r="O237" s="507"/>
      <c r="P237" s="508">
        <f t="shared" si="7"/>
        <v>0</v>
      </c>
      <c r="Q237" s="508"/>
      <c r="R237" s="508"/>
      <c r="S237" s="400"/>
      <c r="T237" s="400"/>
      <c r="U237" s="400"/>
    </row>
    <row r="238" spans="5:21" x14ac:dyDescent="0.3">
      <c r="E238" s="197" t="str">
        <f>IF(Dades!C828="","",Dades!C828)</f>
        <v/>
      </c>
      <c r="F238" s="396">
        <f>(DSUM('1_Combustibles fòssils'!$E$17:$N$39,"emisiones",'6.2_Resultats Espanya'!E$71:E238)/1000)-SUM(F$72:F237)</f>
        <v>0</v>
      </c>
      <c r="G238" s="396">
        <f>(DSUM('2_Fluorats'!$E$11:$P$33,"emisiones",'6.2_Resultats Espanya'!E$71:E238)/1000)-SUM(G$72:G237)</f>
        <v>0</v>
      </c>
      <c r="H238" s="507">
        <f>(DSUM('3_Emissions processos'!$E$13:$L$35,"emisiones",'6.2_Resultats Espanya'!E$71:E238)/1000)-SUM(H$72:H237)</f>
        <v>0</v>
      </c>
      <c r="I238" s="507"/>
      <c r="J238" s="508">
        <f t="shared" si="6"/>
        <v>0</v>
      </c>
      <c r="K238" s="508"/>
      <c r="L238" s="508"/>
      <c r="M238" s="508"/>
      <c r="N238" s="507">
        <f>(DSUM('4.2_Electricitat Espanya'!$E$19:$J$41,"emisiones",'6.2_Resultats Espanya'!E$71:E238)/1000)-SUM(N$72:N237)</f>
        <v>0</v>
      </c>
      <c r="O238" s="507"/>
      <c r="P238" s="508">
        <f t="shared" si="7"/>
        <v>0</v>
      </c>
      <c r="Q238" s="508"/>
      <c r="R238" s="508"/>
      <c r="S238" s="400"/>
      <c r="T238" s="400"/>
      <c r="U238" s="400"/>
    </row>
    <row r="239" spans="5:21" x14ac:dyDescent="0.3">
      <c r="E239" s="197" t="str">
        <f>IF(Dades!C829="","",Dades!C829)</f>
        <v/>
      </c>
      <c r="F239" s="396">
        <f>(DSUM('1_Combustibles fòssils'!$E$17:$N$39,"emisiones",'6.2_Resultats Espanya'!E$71:E239)/1000)-SUM(F$72:F238)</f>
        <v>0</v>
      </c>
      <c r="G239" s="396">
        <f>(DSUM('2_Fluorats'!$E$11:$P$33,"emisiones",'6.2_Resultats Espanya'!E$71:E239)/1000)-SUM(G$72:G238)</f>
        <v>0</v>
      </c>
      <c r="H239" s="507">
        <f>(DSUM('3_Emissions processos'!$E$13:$L$35,"emisiones",'6.2_Resultats Espanya'!E$71:E239)/1000)-SUM(H$72:H238)</f>
        <v>0</v>
      </c>
      <c r="I239" s="507"/>
      <c r="J239" s="508">
        <f t="shared" si="6"/>
        <v>0</v>
      </c>
      <c r="K239" s="508"/>
      <c r="L239" s="508"/>
      <c r="M239" s="508"/>
      <c r="N239" s="507">
        <f>(DSUM('4.2_Electricitat Espanya'!$E$19:$J$41,"emisiones",'6.2_Resultats Espanya'!E$71:E239)/1000)-SUM(N$72:N238)</f>
        <v>0</v>
      </c>
      <c r="O239" s="507"/>
      <c r="P239" s="508">
        <f t="shared" si="7"/>
        <v>0</v>
      </c>
      <c r="Q239" s="508"/>
      <c r="R239" s="508"/>
      <c r="S239" s="400"/>
      <c r="T239" s="400"/>
      <c r="U239" s="400"/>
    </row>
    <row r="240" spans="5:21" x14ac:dyDescent="0.3">
      <c r="E240" s="197" t="str">
        <f>IF(Dades!C830="","",Dades!C830)</f>
        <v/>
      </c>
      <c r="F240" s="396">
        <f>(DSUM('1_Combustibles fòssils'!$E$17:$N$39,"emisiones",'6.2_Resultats Espanya'!E$71:E240)/1000)-SUM(F$72:F239)</f>
        <v>0</v>
      </c>
      <c r="G240" s="396">
        <f>(DSUM('2_Fluorats'!$E$11:$P$33,"emisiones",'6.2_Resultats Espanya'!E$71:E240)/1000)-SUM(G$72:G239)</f>
        <v>0</v>
      </c>
      <c r="H240" s="507">
        <f>(DSUM('3_Emissions processos'!$E$13:$L$35,"emisiones",'6.2_Resultats Espanya'!E$71:E240)/1000)-SUM(H$72:H239)</f>
        <v>0</v>
      </c>
      <c r="I240" s="507"/>
      <c r="J240" s="508">
        <f t="shared" si="6"/>
        <v>0</v>
      </c>
      <c r="K240" s="508"/>
      <c r="L240" s="508"/>
      <c r="M240" s="508"/>
      <c r="N240" s="507">
        <f>(DSUM('4.2_Electricitat Espanya'!$E$19:$J$41,"emisiones",'6.2_Resultats Espanya'!E$71:E240)/1000)-SUM(N$72:N239)</f>
        <v>0</v>
      </c>
      <c r="O240" s="507"/>
      <c r="P240" s="508">
        <f t="shared" si="7"/>
        <v>0</v>
      </c>
      <c r="Q240" s="508"/>
      <c r="R240" s="508"/>
      <c r="S240" s="400"/>
      <c r="T240" s="400"/>
      <c r="U240" s="400"/>
    </row>
    <row r="241" spans="5:21" x14ac:dyDescent="0.3">
      <c r="E241" s="197" t="str">
        <f>IF(Dades!C831="","",Dades!C831)</f>
        <v/>
      </c>
      <c r="F241" s="396">
        <f>(DSUM('1_Combustibles fòssils'!$E$17:$N$39,"emisiones",'6.2_Resultats Espanya'!E$71:E241)/1000)-SUM(F$72:F240)</f>
        <v>0</v>
      </c>
      <c r="G241" s="396">
        <f>(DSUM('2_Fluorats'!$E$11:$P$33,"emisiones",'6.2_Resultats Espanya'!E$71:E241)/1000)-SUM(G$72:G240)</f>
        <v>0</v>
      </c>
      <c r="H241" s="507">
        <f>(DSUM('3_Emissions processos'!$E$13:$L$35,"emisiones",'6.2_Resultats Espanya'!E$71:E241)/1000)-SUM(H$72:H240)</f>
        <v>0</v>
      </c>
      <c r="I241" s="507"/>
      <c r="J241" s="508">
        <f t="shared" si="6"/>
        <v>0</v>
      </c>
      <c r="K241" s="508"/>
      <c r="L241" s="508"/>
      <c r="M241" s="508"/>
      <c r="N241" s="507">
        <f>(DSUM('4.2_Electricitat Espanya'!$E$19:$J$41,"emisiones",'6.2_Resultats Espanya'!E$71:E241)/1000)-SUM(N$72:N240)</f>
        <v>0</v>
      </c>
      <c r="O241" s="507"/>
      <c r="P241" s="508">
        <f t="shared" si="7"/>
        <v>0</v>
      </c>
      <c r="Q241" s="508"/>
      <c r="R241" s="508"/>
      <c r="S241" s="400"/>
      <c r="T241" s="400"/>
      <c r="U241" s="400"/>
    </row>
    <row r="242" spans="5:21" x14ac:dyDescent="0.3">
      <c r="E242" s="197" t="str">
        <f>IF(Dades!C832="","",Dades!C832)</f>
        <v/>
      </c>
      <c r="F242" s="396">
        <f>(DSUM('1_Combustibles fòssils'!$E$17:$N$39,"emisiones",'6.2_Resultats Espanya'!E$71:E242)/1000)-SUM(F$72:F241)</f>
        <v>0</v>
      </c>
      <c r="G242" s="396">
        <f>(DSUM('2_Fluorats'!$E$11:$P$33,"emisiones",'6.2_Resultats Espanya'!E$71:E242)/1000)-SUM(G$72:G241)</f>
        <v>0</v>
      </c>
      <c r="H242" s="507">
        <f>(DSUM('3_Emissions processos'!$E$13:$L$35,"emisiones",'6.2_Resultats Espanya'!E$71:E242)/1000)-SUM(H$72:H241)</f>
        <v>0</v>
      </c>
      <c r="I242" s="507"/>
      <c r="J242" s="508">
        <f t="shared" si="6"/>
        <v>0</v>
      </c>
      <c r="K242" s="508"/>
      <c r="L242" s="508"/>
      <c r="M242" s="508"/>
      <c r="N242" s="507">
        <f>(DSUM('4.2_Electricitat Espanya'!$E$19:$J$41,"emisiones",'6.2_Resultats Espanya'!E$71:E242)/1000)-SUM(N$72:N241)</f>
        <v>0</v>
      </c>
      <c r="O242" s="507"/>
      <c r="P242" s="508">
        <f t="shared" si="7"/>
        <v>0</v>
      </c>
      <c r="Q242" s="508"/>
      <c r="R242" s="508"/>
      <c r="S242" s="400"/>
      <c r="T242" s="400"/>
      <c r="U242" s="400"/>
    </row>
    <row r="243" spans="5:21" x14ac:dyDescent="0.3">
      <c r="E243" s="197" t="str">
        <f>IF(Dades!C833="","",Dades!C833)</f>
        <v/>
      </c>
      <c r="F243" s="396">
        <f>(DSUM('1_Combustibles fòssils'!$E$17:$N$39,"emisiones",'6.2_Resultats Espanya'!E$71:E243)/1000)-SUM(F$72:F242)</f>
        <v>0</v>
      </c>
      <c r="G243" s="396">
        <f>(DSUM('2_Fluorats'!$E$11:$P$33,"emisiones",'6.2_Resultats Espanya'!E$71:E243)/1000)-SUM(G$72:G242)</f>
        <v>0</v>
      </c>
      <c r="H243" s="507">
        <f>(DSUM('3_Emissions processos'!$E$13:$L$35,"emisiones",'6.2_Resultats Espanya'!E$71:E243)/1000)-SUM(H$72:H242)</f>
        <v>0</v>
      </c>
      <c r="I243" s="507"/>
      <c r="J243" s="508">
        <f t="shared" si="6"/>
        <v>0</v>
      </c>
      <c r="K243" s="508"/>
      <c r="L243" s="508"/>
      <c r="M243" s="508"/>
      <c r="N243" s="507">
        <f>(DSUM('4.2_Electricitat Espanya'!$E$19:$J$41,"emisiones",'6.2_Resultats Espanya'!E$71:E243)/1000)-SUM(N$72:N242)</f>
        <v>0</v>
      </c>
      <c r="O243" s="507"/>
      <c r="P243" s="508">
        <f t="shared" si="7"/>
        <v>0</v>
      </c>
      <c r="Q243" s="508"/>
      <c r="R243" s="508"/>
      <c r="S243" s="400"/>
      <c r="T243" s="400"/>
      <c r="U243" s="400"/>
    </row>
    <row r="244" spans="5:21" x14ac:dyDescent="0.3">
      <c r="E244" s="197" t="str">
        <f>IF(Dades!C834="","",Dades!C834)</f>
        <v/>
      </c>
      <c r="F244" s="396">
        <f>(DSUM('1_Combustibles fòssils'!$E$17:$N$39,"emisiones",'6.2_Resultats Espanya'!E$71:E244)/1000)-SUM(F$72:F243)</f>
        <v>0</v>
      </c>
      <c r="G244" s="396">
        <f>(DSUM('2_Fluorats'!$E$11:$P$33,"emisiones",'6.2_Resultats Espanya'!E$71:E244)/1000)-SUM(G$72:G243)</f>
        <v>0</v>
      </c>
      <c r="H244" s="507">
        <f>(DSUM('3_Emissions processos'!$E$13:$L$35,"emisiones",'6.2_Resultats Espanya'!E$71:E244)/1000)-SUM(H$72:H243)</f>
        <v>0</v>
      </c>
      <c r="I244" s="507"/>
      <c r="J244" s="508">
        <f t="shared" si="6"/>
        <v>0</v>
      </c>
      <c r="K244" s="508"/>
      <c r="L244" s="508"/>
      <c r="M244" s="508"/>
      <c r="N244" s="507">
        <f>(DSUM('4.2_Electricitat Espanya'!$E$19:$J$41,"emisiones",'6.2_Resultats Espanya'!E$71:E244)/1000)-SUM(N$72:N243)</f>
        <v>0</v>
      </c>
      <c r="O244" s="507"/>
      <c r="P244" s="508">
        <f t="shared" si="7"/>
        <v>0</v>
      </c>
      <c r="Q244" s="508"/>
      <c r="R244" s="508"/>
      <c r="S244" s="400"/>
      <c r="T244" s="400"/>
      <c r="U244" s="400"/>
    </row>
    <row r="245" spans="5:21" x14ac:dyDescent="0.3">
      <c r="E245" s="197" t="str">
        <f>IF(Dades!C835="","",Dades!C835)</f>
        <v/>
      </c>
      <c r="F245" s="396">
        <f>(DSUM('1_Combustibles fòssils'!$E$17:$N$39,"emisiones",'6.2_Resultats Espanya'!E$71:E245)/1000)-SUM(F$72:F244)</f>
        <v>0</v>
      </c>
      <c r="G245" s="396">
        <f>(DSUM('2_Fluorats'!$E$11:$P$33,"emisiones",'6.2_Resultats Espanya'!E$71:E245)/1000)-SUM(G$72:G244)</f>
        <v>0</v>
      </c>
      <c r="H245" s="507">
        <f>(DSUM('3_Emissions processos'!$E$13:$L$35,"emisiones",'6.2_Resultats Espanya'!E$71:E245)/1000)-SUM(H$72:H244)</f>
        <v>0</v>
      </c>
      <c r="I245" s="507"/>
      <c r="J245" s="508">
        <f t="shared" si="6"/>
        <v>0</v>
      </c>
      <c r="K245" s="508"/>
      <c r="L245" s="508"/>
      <c r="M245" s="508"/>
      <c r="N245" s="507">
        <f>(DSUM('4.2_Electricitat Espanya'!$E$19:$J$41,"emisiones",'6.2_Resultats Espanya'!E$71:E245)/1000)-SUM(N$72:N244)</f>
        <v>0</v>
      </c>
      <c r="O245" s="507"/>
      <c r="P245" s="508">
        <f t="shared" si="7"/>
        <v>0</v>
      </c>
      <c r="Q245" s="508"/>
      <c r="R245" s="508"/>
      <c r="S245" s="400"/>
      <c r="T245" s="400"/>
      <c r="U245" s="400"/>
    </row>
    <row r="246" spans="5:21" x14ac:dyDescent="0.3">
      <c r="E246" s="197" t="str">
        <f>IF(Dades!C836="","",Dades!C836)</f>
        <v/>
      </c>
      <c r="F246" s="396">
        <f>(DSUM('1_Combustibles fòssils'!$E$17:$N$39,"emisiones",'6.2_Resultats Espanya'!E$71:E246)/1000)-SUM(F$72:F245)</f>
        <v>0</v>
      </c>
      <c r="G246" s="396">
        <f>(DSUM('2_Fluorats'!$E$11:$P$33,"emisiones",'6.2_Resultats Espanya'!E$71:E246)/1000)-SUM(G$72:G245)</f>
        <v>0</v>
      </c>
      <c r="H246" s="507">
        <f>(DSUM('3_Emissions processos'!$E$13:$L$35,"emisiones",'6.2_Resultats Espanya'!E$71:E246)/1000)-SUM(H$72:H245)</f>
        <v>0</v>
      </c>
      <c r="I246" s="507"/>
      <c r="J246" s="508">
        <f t="shared" si="6"/>
        <v>0</v>
      </c>
      <c r="K246" s="508"/>
      <c r="L246" s="508"/>
      <c r="M246" s="508"/>
      <c r="N246" s="507">
        <f>(DSUM('4.2_Electricitat Espanya'!$E$19:$J$41,"emisiones",'6.2_Resultats Espanya'!E$71:E246)/1000)-SUM(N$72:N245)</f>
        <v>0</v>
      </c>
      <c r="O246" s="507"/>
      <c r="P246" s="508">
        <f t="shared" si="7"/>
        <v>0</v>
      </c>
      <c r="Q246" s="508"/>
      <c r="R246" s="508"/>
      <c r="S246" s="400"/>
      <c r="T246" s="400"/>
      <c r="U246" s="400"/>
    </row>
    <row r="247" spans="5:21" x14ac:dyDescent="0.3">
      <c r="E247" s="197" t="str">
        <f>IF(Dades!C837="","",Dades!C837)</f>
        <v/>
      </c>
      <c r="F247" s="396">
        <f>(DSUM('1_Combustibles fòssils'!$E$17:$N$39,"emisiones",'6.2_Resultats Espanya'!E$71:E247)/1000)-SUM(F$72:F246)</f>
        <v>0</v>
      </c>
      <c r="G247" s="396">
        <f>(DSUM('2_Fluorats'!$E$11:$P$33,"emisiones",'6.2_Resultats Espanya'!E$71:E247)/1000)-SUM(G$72:G246)</f>
        <v>0</v>
      </c>
      <c r="H247" s="507">
        <f>(DSUM('3_Emissions processos'!$E$13:$L$35,"emisiones",'6.2_Resultats Espanya'!E$71:E247)/1000)-SUM(H$72:H246)</f>
        <v>0</v>
      </c>
      <c r="I247" s="507"/>
      <c r="J247" s="508">
        <f t="shared" si="6"/>
        <v>0</v>
      </c>
      <c r="K247" s="508"/>
      <c r="L247" s="508"/>
      <c r="M247" s="508"/>
      <c r="N247" s="507">
        <f>(DSUM('4.2_Electricitat Espanya'!$E$19:$J$41,"emisiones",'6.2_Resultats Espanya'!E$71:E247)/1000)-SUM(N$72:N246)</f>
        <v>0</v>
      </c>
      <c r="O247" s="507"/>
      <c r="P247" s="508">
        <f t="shared" si="7"/>
        <v>0</v>
      </c>
      <c r="Q247" s="508"/>
      <c r="R247" s="508"/>
      <c r="S247" s="400"/>
      <c r="T247" s="400"/>
      <c r="U247" s="400"/>
    </row>
    <row r="248" spans="5:21" x14ac:dyDescent="0.3">
      <c r="E248" s="197" t="str">
        <f>IF(Dades!C838="","",Dades!C838)</f>
        <v/>
      </c>
      <c r="F248" s="396">
        <f>(DSUM('1_Combustibles fòssils'!$E$17:$N$39,"emisiones",'6.2_Resultats Espanya'!E$71:E248)/1000)-SUM(F$72:F247)</f>
        <v>0</v>
      </c>
      <c r="G248" s="396">
        <f>(DSUM('2_Fluorats'!$E$11:$P$33,"emisiones",'6.2_Resultats Espanya'!E$71:E248)/1000)-SUM(G$72:G247)</f>
        <v>0</v>
      </c>
      <c r="H248" s="507">
        <f>(DSUM('3_Emissions processos'!$E$13:$L$35,"emisiones",'6.2_Resultats Espanya'!E$71:E248)/1000)-SUM(H$72:H247)</f>
        <v>0</v>
      </c>
      <c r="I248" s="507"/>
      <c r="J248" s="508">
        <f t="shared" si="6"/>
        <v>0</v>
      </c>
      <c r="K248" s="508"/>
      <c r="L248" s="508"/>
      <c r="M248" s="508"/>
      <c r="N248" s="507">
        <f>(DSUM('4.2_Electricitat Espanya'!$E$19:$J$41,"emisiones",'6.2_Resultats Espanya'!E$71:E248)/1000)-SUM(N$72:N247)</f>
        <v>0</v>
      </c>
      <c r="O248" s="507"/>
      <c r="P248" s="508">
        <f t="shared" si="7"/>
        <v>0</v>
      </c>
      <c r="Q248" s="508"/>
      <c r="R248" s="508"/>
      <c r="S248" s="400"/>
      <c r="T248" s="400"/>
      <c r="U248" s="400"/>
    </row>
    <row r="249" spans="5:21" x14ac:dyDescent="0.3">
      <c r="E249" s="197" t="str">
        <f>IF(Dades!C839="","",Dades!C839)</f>
        <v/>
      </c>
      <c r="F249" s="396">
        <f>(DSUM('1_Combustibles fòssils'!$E$17:$N$39,"emisiones",'6.2_Resultats Espanya'!E$71:E249)/1000)-SUM(F$72:F248)</f>
        <v>0</v>
      </c>
      <c r="G249" s="396">
        <f>(DSUM('2_Fluorats'!$E$11:$P$33,"emisiones",'6.2_Resultats Espanya'!E$71:E249)/1000)-SUM(G$72:G248)</f>
        <v>0</v>
      </c>
      <c r="H249" s="507">
        <f>(DSUM('3_Emissions processos'!$E$13:$L$35,"emisiones",'6.2_Resultats Espanya'!E$71:E249)/1000)-SUM(H$72:H248)</f>
        <v>0</v>
      </c>
      <c r="I249" s="507"/>
      <c r="J249" s="508">
        <f t="shared" si="6"/>
        <v>0</v>
      </c>
      <c r="K249" s="508"/>
      <c r="L249" s="508"/>
      <c r="M249" s="508"/>
      <c r="N249" s="507">
        <f>(DSUM('4.2_Electricitat Espanya'!$E$19:$J$41,"emisiones",'6.2_Resultats Espanya'!E$71:E249)/1000)-SUM(N$72:N248)</f>
        <v>0</v>
      </c>
      <c r="O249" s="507"/>
      <c r="P249" s="508">
        <f t="shared" si="7"/>
        <v>0</v>
      </c>
      <c r="Q249" s="508"/>
      <c r="R249" s="508"/>
      <c r="S249" s="400"/>
      <c r="T249" s="400"/>
      <c r="U249" s="400"/>
    </row>
    <row r="250" spans="5:21" x14ac:dyDescent="0.3">
      <c r="E250" s="197" t="str">
        <f>IF(Dades!C840="","",Dades!C840)</f>
        <v/>
      </c>
      <c r="F250" s="396">
        <f>(DSUM('1_Combustibles fòssils'!$E$17:$N$39,"emisiones",'6.2_Resultats Espanya'!E$71:E250)/1000)-SUM(F$72:F249)</f>
        <v>0</v>
      </c>
      <c r="G250" s="396">
        <f>(DSUM('2_Fluorats'!$E$11:$P$33,"emisiones",'6.2_Resultats Espanya'!E$71:E250)/1000)-SUM(G$72:G249)</f>
        <v>0</v>
      </c>
      <c r="H250" s="507">
        <f>(DSUM('3_Emissions processos'!$E$13:$L$35,"emisiones",'6.2_Resultats Espanya'!E$71:E250)/1000)-SUM(H$72:H249)</f>
        <v>0</v>
      </c>
      <c r="I250" s="507"/>
      <c r="J250" s="508">
        <f t="shared" si="6"/>
        <v>0</v>
      </c>
      <c r="K250" s="508"/>
      <c r="L250" s="508"/>
      <c r="M250" s="508"/>
      <c r="N250" s="507">
        <f>(DSUM('4.2_Electricitat Espanya'!$E$19:$J$41,"emisiones",'6.2_Resultats Espanya'!E$71:E250)/1000)-SUM(N$72:N249)</f>
        <v>0</v>
      </c>
      <c r="O250" s="507"/>
      <c r="P250" s="508">
        <f t="shared" si="7"/>
        <v>0</v>
      </c>
      <c r="Q250" s="508"/>
      <c r="R250" s="508"/>
      <c r="S250" s="400"/>
      <c r="T250" s="400"/>
      <c r="U250" s="400"/>
    </row>
    <row r="251" spans="5:21" x14ac:dyDescent="0.3">
      <c r="E251" s="197" t="str">
        <f>IF(Dades!C841="","",Dades!C841)</f>
        <v/>
      </c>
      <c r="F251" s="396">
        <f>(DSUM('1_Combustibles fòssils'!$E$17:$N$39,"emisiones",'6.2_Resultats Espanya'!E$71:E251)/1000)-SUM(F$72:F250)</f>
        <v>0</v>
      </c>
      <c r="G251" s="396">
        <f>(DSUM('2_Fluorats'!$E$11:$P$33,"emisiones",'6.2_Resultats Espanya'!E$71:E251)/1000)-SUM(G$72:G250)</f>
        <v>0</v>
      </c>
      <c r="H251" s="507">
        <f>(DSUM('3_Emissions processos'!$E$13:$L$35,"emisiones",'6.2_Resultats Espanya'!E$71:E251)/1000)-SUM(H$72:H250)</f>
        <v>0</v>
      </c>
      <c r="I251" s="507"/>
      <c r="J251" s="508">
        <f t="shared" si="6"/>
        <v>0</v>
      </c>
      <c r="K251" s="508"/>
      <c r="L251" s="508"/>
      <c r="M251" s="508"/>
      <c r="N251" s="507">
        <f>(DSUM('4.2_Electricitat Espanya'!$E$19:$J$41,"emisiones",'6.2_Resultats Espanya'!E$71:E251)/1000)-SUM(N$72:N250)</f>
        <v>0</v>
      </c>
      <c r="O251" s="507"/>
      <c r="P251" s="508">
        <f t="shared" si="7"/>
        <v>0</v>
      </c>
      <c r="Q251" s="508"/>
      <c r="R251" s="508"/>
      <c r="S251" s="400"/>
      <c r="T251" s="400"/>
      <c r="U251" s="400"/>
    </row>
    <row r="252" spans="5:21" x14ac:dyDescent="0.3">
      <c r="E252" s="197" t="str">
        <f>IF(Dades!C842="","",Dades!C842)</f>
        <v/>
      </c>
      <c r="F252" s="396">
        <f>(DSUM('1_Combustibles fòssils'!$E$17:$N$39,"emisiones",'6.2_Resultats Espanya'!E$71:E252)/1000)-SUM(F$72:F251)</f>
        <v>0</v>
      </c>
      <c r="G252" s="396">
        <f>(DSUM('2_Fluorats'!$E$11:$P$33,"emisiones",'6.2_Resultats Espanya'!E$71:E252)/1000)-SUM(G$72:G251)</f>
        <v>0</v>
      </c>
      <c r="H252" s="507">
        <f>(DSUM('3_Emissions processos'!$E$13:$L$35,"emisiones",'6.2_Resultats Espanya'!E$71:E252)/1000)-SUM(H$72:H251)</f>
        <v>0</v>
      </c>
      <c r="I252" s="507"/>
      <c r="J252" s="508">
        <f t="shared" si="6"/>
        <v>0</v>
      </c>
      <c r="K252" s="508"/>
      <c r="L252" s="508"/>
      <c r="M252" s="508"/>
      <c r="N252" s="507">
        <f>(DSUM('4.2_Electricitat Espanya'!$E$19:$J$41,"emisiones",'6.2_Resultats Espanya'!E$71:E252)/1000)-SUM(N$72:N251)</f>
        <v>0</v>
      </c>
      <c r="O252" s="507"/>
      <c r="P252" s="508">
        <f t="shared" si="7"/>
        <v>0</v>
      </c>
      <c r="Q252" s="508"/>
      <c r="R252" s="508"/>
      <c r="S252" s="400"/>
      <c r="T252" s="400"/>
      <c r="U252" s="400"/>
    </row>
    <row r="253" spans="5:21" x14ac:dyDescent="0.3">
      <c r="E253" s="197" t="str">
        <f>IF(Dades!C843="","",Dades!C843)</f>
        <v/>
      </c>
      <c r="F253" s="396">
        <f>(DSUM('1_Combustibles fòssils'!$E$17:$N$39,"emisiones",'6.2_Resultats Espanya'!E$71:E253)/1000)-SUM(F$72:F252)</f>
        <v>0</v>
      </c>
      <c r="G253" s="396">
        <f>(DSUM('2_Fluorats'!$E$11:$P$33,"emisiones",'6.2_Resultats Espanya'!E$71:E253)/1000)-SUM(G$72:G252)</f>
        <v>0</v>
      </c>
      <c r="H253" s="507">
        <f>(DSUM('3_Emissions processos'!$E$13:$L$35,"emisiones",'6.2_Resultats Espanya'!E$71:E253)/1000)-SUM(H$72:H252)</f>
        <v>0</v>
      </c>
      <c r="I253" s="507"/>
      <c r="J253" s="508">
        <f t="shared" si="6"/>
        <v>0</v>
      </c>
      <c r="K253" s="508"/>
      <c r="L253" s="508"/>
      <c r="M253" s="508"/>
      <c r="N253" s="507">
        <f>(DSUM('4.2_Electricitat Espanya'!$E$19:$J$41,"emisiones",'6.2_Resultats Espanya'!E$71:E253)/1000)-SUM(N$72:N252)</f>
        <v>0</v>
      </c>
      <c r="O253" s="507"/>
      <c r="P253" s="508">
        <f t="shared" si="7"/>
        <v>0</v>
      </c>
      <c r="Q253" s="508"/>
      <c r="R253" s="508"/>
      <c r="S253" s="400"/>
      <c r="T253" s="400"/>
      <c r="U253" s="400"/>
    </row>
    <row r="254" spans="5:21" x14ac:dyDescent="0.3">
      <c r="E254" s="197" t="str">
        <f>IF(Dades!C844="","",Dades!C844)</f>
        <v/>
      </c>
      <c r="F254" s="396">
        <f>(DSUM('1_Combustibles fòssils'!$E$17:$N$39,"emisiones",'6.2_Resultats Espanya'!E$71:E254)/1000)-SUM(F$72:F253)</f>
        <v>0</v>
      </c>
      <c r="G254" s="396">
        <f>(DSUM('2_Fluorats'!$E$11:$P$33,"emisiones",'6.2_Resultats Espanya'!E$71:E254)/1000)-SUM(G$72:G253)</f>
        <v>0</v>
      </c>
      <c r="H254" s="507">
        <f>(DSUM('3_Emissions processos'!$E$13:$L$35,"emisiones",'6.2_Resultats Espanya'!E$71:E254)/1000)-SUM(H$72:H253)</f>
        <v>0</v>
      </c>
      <c r="I254" s="507"/>
      <c r="J254" s="508">
        <f t="shared" si="6"/>
        <v>0</v>
      </c>
      <c r="K254" s="508"/>
      <c r="L254" s="508"/>
      <c r="M254" s="508"/>
      <c r="N254" s="507">
        <f>(DSUM('4.2_Electricitat Espanya'!$E$19:$J$41,"emisiones",'6.2_Resultats Espanya'!E$71:E254)/1000)-SUM(N$72:N253)</f>
        <v>0</v>
      </c>
      <c r="O254" s="507"/>
      <c r="P254" s="508">
        <f t="shared" si="7"/>
        <v>0</v>
      </c>
      <c r="Q254" s="508"/>
      <c r="R254" s="508"/>
      <c r="S254" s="400"/>
      <c r="T254" s="400"/>
      <c r="U254" s="400"/>
    </row>
    <row r="255" spans="5:21" x14ac:dyDescent="0.3">
      <c r="E255" s="197" t="str">
        <f>IF(Dades!C845="","",Dades!C845)</f>
        <v/>
      </c>
      <c r="F255" s="396">
        <f>(DSUM('1_Combustibles fòssils'!$E$17:$N$39,"emisiones",'6.2_Resultats Espanya'!E$71:E255)/1000)-SUM(F$72:F254)</f>
        <v>0</v>
      </c>
      <c r="G255" s="396">
        <f>(DSUM('2_Fluorats'!$E$11:$P$33,"emisiones",'6.2_Resultats Espanya'!E$71:E255)/1000)-SUM(G$72:G254)</f>
        <v>0</v>
      </c>
      <c r="H255" s="507">
        <f>(DSUM('3_Emissions processos'!$E$13:$L$35,"emisiones",'6.2_Resultats Espanya'!E$71:E255)/1000)-SUM(H$72:H254)</f>
        <v>0</v>
      </c>
      <c r="I255" s="507"/>
      <c r="J255" s="508">
        <f t="shared" si="6"/>
        <v>0</v>
      </c>
      <c r="K255" s="508"/>
      <c r="L255" s="508"/>
      <c r="M255" s="508"/>
      <c r="N255" s="507">
        <f>(DSUM('4.2_Electricitat Espanya'!$E$19:$J$41,"emisiones",'6.2_Resultats Espanya'!E$71:E255)/1000)-SUM(N$72:N254)</f>
        <v>0</v>
      </c>
      <c r="O255" s="507"/>
      <c r="P255" s="508">
        <f t="shared" si="7"/>
        <v>0</v>
      </c>
      <c r="Q255" s="508"/>
      <c r="R255" s="508"/>
      <c r="S255" s="400"/>
      <c r="T255" s="400"/>
      <c r="U255" s="400"/>
    </row>
    <row r="256" spans="5:21" x14ac:dyDescent="0.3">
      <c r="E256" s="197" t="str">
        <f>IF(Dades!C846="","",Dades!C846)</f>
        <v/>
      </c>
      <c r="F256" s="396">
        <f>(DSUM('1_Combustibles fòssils'!$E$17:$N$39,"emisiones",'6.2_Resultats Espanya'!E$71:E256)/1000)-SUM(F$72:F255)</f>
        <v>0</v>
      </c>
      <c r="G256" s="396">
        <f>(DSUM('2_Fluorats'!$E$11:$P$33,"emisiones",'6.2_Resultats Espanya'!E$71:E256)/1000)-SUM(G$72:G255)</f>
        <v>0</v>
      </c>
      <c r="H256" s="507">
        <f>(DSUM('3_Emissions processos'!$E$13:$L$35,"emisiones",'6.2_Resultats Espanya'!E$71:E256)/1000)-SUM(H$72:H255)</f>
        <v>0</v>
      </c>
      <c r="I256" s="507"/>
      <c r="J256" s="508">
        <f t="shared" si="6"/>
        <v>0</v>
      </c>
      <c r="K256" s="508"/>
      <c r="L256" s="508"/>
      <c r="M256" s="508"/>
      <c r="N256" s="507">
        <f>(DSUM('4.2_Electricitat Espanya'!$E$19:$J$41,"emisiones",'6.2_Resultats Espanya'!E$71:E256)/1000)-SUM(N$72:N255)</f>
        <v>0</v>
      </c>
      <c r="O256" s="507"/>
      <c r="P256" s="508">
        <f t="shared" si="7"/>
        <v>0</v>
      </c>
      <c r="Q256" s="508"/>
      <c r="R256" s="508"/>
      <c r="S256" s="400"/>
      <c r="T256" s="400"/>
      <c r="U256" s="400"/>
    </row>
    <row r="257" spans="5:21" x14ac:dyDescent="0.3">
      <c r="E257" s="197" t="str">
        <f>IF(Dades!C847="","",Dades!C847)</f>
        <v/>
      </c>
      <c r="F257" s="396">
        <f>(DSUM('1_Combustibles fòssils'!$E$17:$N$39,"emisiones",'6.2_Resultats Espanya'!E$71:E257)/1000)-SUM(F$72:F256)</f>
        <v>0</v>
      </c>
      <c r="G257" s="396">
        <f>(DSUM('2_Fluorats'!$E$11:$P$33,"emisiones",'6.2_Resultats Espanya'!E$71:E257)/1000)-SUM(G$72:G256)</f>
        <v>0</v>
      </c>
      <c r="H257" s="507">
        <f>(DSUM('3_Emissions processos'!$E$13:$L$35,"emisiones",'6.2_Resultats Espanya'!E$71:E257)/1000)-SUM(H$72:H256)</f>
        <v>0</v>
      </c>
      <c r="I257" s="507"/>
      <c r="J257" s="508">
        <f t="shared" si="6"/>
        <v>0</v>
      </c>
      <c r="K257" s="508"/>
      <c r="L257" s="508"/>
      <c r="M257" s="508"/>
      <c r="N257" s="507">
        <f>(DSUM('4.2_Electricitat Espanya'!$E$19:$J$41,"emisiones",'6.2_Resultats Espanya'!E$71:E257)/1000)-SUM(N$72:N256)</f>
        <v>0</v>
      </c>
      <c r="O257" s="507"/>
      <c r="P257" s="508">
        <f t="shared" si="7"/>
        <v>0</v>
      </c>
      <c r="Q257" s="508"/>
      <c r="R257" s="508"/>
      <c r="S257" s="400"/>
      <c r="T257" s="400"/>
      <c r="U257" s="400"/>
    </row>
    <row r="258" spans="5:21" x14ac:dyDescent="0.3">
      <c r="E258" s="197" t="str">
        <f>IF(Dades!C848="","",Dades!C848)</f>
        <v/>
      </c>
      <c r="F258" s="396">
        <f>(DSUM('1_Combustibles fòssils'!$E$17:$N$39,"emisiones",'6.2_Resultats Espanya'!E$71:E258)/1000)-SUM(F$72:F257)</f>
        <v>0</v>
      </c>
      <c r="G258" s="396">
        <f>(DSUM('2_Fluorats'!$E$11:$P$33,"emisiones",'6.2_Resultats Espanya'!E$71:E258)/1000)-SUM(G$72:G257)</f>
        <v>0</v>
      </c>
      <c r="H258" s="507">
        <f>(DSUM('3_Emissions processos'!$E$13:$L$35,"emisiones",'6.2_Resultats Espanya'!E$71:E258)/1000)-SUM(H$72:H257)</f>
        <v>0</v>
      </c>
      <c r="I258" s="507"/>
      <c r="J258" s="508">
        <f t="shared" si="6"/>
        <v>0</v>
      </c>
      <c r="K258" s="508"/>
      <c r="L258" s="508"/>
      <c r="M258" s="508"/>
      <c r="N258" s="507">
        <f>(DSUM('4.2_Electricitat Espanya'!$E$19:$J$41,"emisiones",'6.2_Resultats Espanya'!E$71:E258)/1000)-SUM(N$72:N257)</f>
        <v>0</v>
      </c>
      <c r="O258" s="507"/>
      <c r="P258" s="508">
        <f t="shared" si="7"/>
        <v>0</v>
      </c>
      <c r="Q258" s="508"/>
      <c r="R258" s="508"/>
      <c r="S258" s="400"/>
      <c r="T258" s="400"/>
      <c r="U258" s="400"/>
    </row>
    <row r="259" spans="5:21" x14ac:dyDescent="0.3">
      <c r="E259" s="197" t="str">
        <f>IF(Dades!C849="","",Dades!C849)</f>
        <v/>
      </c>
      <c r="F259" s="396">
        <f>(DSUM('1_Combustibles fòssils'!$E$17:$N$39,"emisiones",'6.2_Resultats Espanya'!E$71:E259)/1000)-SUM(F$72:F258)</f>
        <v>0</v>
      </c>
      <c r="G259" s="396">
        <f>(DSUM('2_Fluorats'!$E$11:$P$33,"emisiones",'6.2_Resultats Espanya'!E$71:E259)/1000)-SUM(G$72:G258)</f>
        <v>0</v>
      </c>
      <c r="H259" s="507">
        <f>(DSUM('3_Emissions processos'!$E$13:$L$35,"emisiones",'6.2_Resultats Espanya'!E$71:E259)/1000)-SUM(H$72:H258)</f>
        <v>0</v>
      </c>
      <c r="I259" s="507"/>
      <c r="J259" s="508">
        <f t="shared" si="6"/>
        <v>0</v>
      </c>
      <c r="K259" s="508"/>
      <c r="L259" s="508"/>
      <c r="M259" s="508"/>
      <c r="N259" s="507">
        <f>(DSUM('4.2_Electricitat Espanya'!$E$19:$J$41,"emisiones",'6.2_Resultats Espanya'!E$71:E259)/1000)-SUM(N$72:N258)</f>
        <v>0</v>
      </c>
      <c r="O259" s="507"/>
      <c r="P259" s="508">
        <f t="shared" si="7"/>
        <v>0</v>
      </c>
      <c r="Q259" s="508"/>
      <c r="R259" s="508"/>
      <c r="S259" s="400"/>
      <c r="T259" s="400"/>
      <c r="U259" s="400"/>
    </row>
    <row r="260" spans="5:21" x14ac:dyDescent="0.3">
      <c r="E260" s="197" t="str">
        <f>IF(Dades!C850="","",Dades!C850)</f>
        <v/>
      </c>
      <c r="F260" s="396">
        <f>(DSUM('1_Combustibles fòssils'!$E$17:$N$39,"emisiones",'6.2_Resultats Espanya'!E$71:E260)/1000)-SUM(F$72:F259)</f>
        <v>0</v>
      </c>
      <c r="G260" s="396">
        <f>(DSUM('2_Fluorats'!$E$11:$P$33,"emisiones",'6.2_Resultats Espanya'!E$71:E260)/1000)-SUM(G$72:G259)</f>
        <v>0</v>
      </c>
      <c r="H260" s="507">
        <f>(DSUM('3_Emissions processos'!$E$13:$L$35,"emisiones",'6.2_Resultats Espanya'!E$71:E260)/1000)-SUM(H$72:H259)</f>
        <v>0</v>
      </c>
      <c r="I260" s="507"/>
      <c r="J260" s="508">
        <f t="shared" si="6"/>
        <v>0</v>
      </c>
      <c r="K260" s="508"/>
      <c r="L260" s="508"/>
      <c r="M260" s="508"/>
      <c r="N260" s="507">
        <f>(DSUM('4.2_Electricitat Espanya'!$E$19:$J$41,"emisiones",'6.2_Resultats Espanya'!E$71:E260)/1000)-SUM(N$72:N259)</f>
        <v>0</v>
      </c>
      <c r="O260" s="507"/>
      <c r="P260" s="508">
        <f t="shared" si="7"/>
        <v>0</v>
      </c>
      <c r="Q260" s="508"/>
      <c r="R260" s="508"/>
      <c r="S260" s="400"/>
      <c r="T260" s="400"/>
      <c r="U260" s="400"/>
    </row>
    <row r="261" spans="5:21" x14ac:dyDescent="0.3">
      <c r="E261" s="197" t="str">
        <f>IF(Dades!C851="","",Dades!C851)</f>
        <v/>
      </c>
      <c r="F261" s="396">
        <f>(DSUM('1_Combustibles fòssils'!$E$17:$N$39,"emisiones",'6.2_Resultats Espanya'!E$71:E261)/1000)-SUM(F$72:F260)</f>
        <v>0</v>
      </c>
      <c r="G261" s="396">
        <f>(DSUM('2_Fluorats'!$E$11:$P$33,"emisiones",'6.2_Resultats Espanya'!E$71:E261)/1000)-SUM(G$72:G260)</f>
        <v>0</v>
      </c>
      <c r="H261" s="507">
        <f>(DSUM('3_Emissions processos'!$E$13:$L$35,"emisiones",'6.2_Resultats Espanya'!E$71:E261)/1000)-SUM(H$72:H260)</f>
        <v>0</v>
      </c>
      <c r="I261" s="507"/>
      <c r="J261" s="508">
        <f t="shared" si="6"/>
        <v>0</v>
      </c>
      <c r="K261" s="508"/>
      <c r="L261" s="508"/>
      <c r="M261" s="508"/>
      <c r="N261" s="507">
        <f>(DSUM('4.2_Electricitat Espanya'!$E$19:$J$41,"emisiones",'6.2_Resultats Espanya'!E$71:E261)/1000)-SUM(N$72:N260)</f>
        <v>0</v>
      </c>
      <c r="O261" s="507"/>
      <c r="P261" s="508">
        <f t="shared" si="7"/>
        <v>0</v>
      </c>
      <c r="Q261" s="508"/>
      <c r="R261" s="508"/>
      <c r="S261" s="400"/>
      <c r="T261" s="400"/>
      <c r="U261" s="400"/>
    </row>
    <row r="262" spans="5:21" x14ac:dyDescent="0.3">
      <c r="E262" s="197" t="str">
        <f>IF(Dades!C852="","",Dades!C852)</f>
        <v/>
      </c>
      <c r="F262" s="396">
        <f>(DSUM('1_Combustibles fòssils'!$E$17:$N$39,"emisiones",'6.2_Resultats Espanya'!E$71:E262)/1000)-SUM(F$72:F261)</f>
        <v>0</v>
      </c>
      <c r="G262" s="396">
        <f>(DSUM('2_Fluorats'!$E$11:$P$33,"emisiones",'6.2_Resultats Espanya'!E$71:E262)/1000)-SUM(G$72:G261)</f>
        <v>0</v>
      </c>
      <c r="H262" s="507">
        <f>(DSUM('3_Emissions processos'!$E$13:$L$35,"emisiones",'6.2_Resultats Espanya'!E$71:E262)/1000)-SUM(H$72:H261)</f>
        <v>0</v>
      </c>
      <c r="I262" s="507"/>
      <c r="J262" s="508">
        <f t="shared" si="6"/>
        <v>0</v>
      </c>
      <c r="K262" s="508"/>
      <c r="L262" s="508"/>
      <c r="M262" s="508"/>
      <c r="N262" s="507">
        <f>(DSUM('4.2_Electricitat Espanya'!$E$19:$J$41,"emisiones",'6.2_Resultats Espanya'!E$71:E262)/1000)-SUM(N$72:N261)</f>
        <v>0</v>
      </c>
      <c r="O262" s="507"/>
      <c r="P262" s="508">
        <f t="shared" si="7"/>
        <v>0</v>
      </c>
      <c r="Q262" s="508"/>
      <c r="R262" s="508"/>
      <c r="S262" s="400"/>
      <c r="T262" s="400"/>
      <c r="U262" s="400"/>
    </row>
    <row r="263" spans="5:21" x14ac:dyDescent="0.3">
      <c r="E263" s="197" t="str">
        <f>IF(Dades!C853="","",Dades!C853)</f>
        <v/>
      </c>
      <c r="F263" s="396">
        <f>(DSUM('1_Combustibles fòssils'!$E$17:$N$39,"emisiones",'6.2_Resultats Espanya'!E$71:E263)/1000)-SUM(F$72:F262)</f>
        <v>0</v>
      </c>
      <c r="G263" s="396">
        <f>(DSUM('2_Fluorats'!$E$11:$P$33,"emisiones",'6.2_Resultats Espanya'!E$71:E263)/1000)-SUM(G$72:G262)</f>
        <v>0</v>
      </c>
      <c r="H263" s="507">
        <f>(DSUM('3_Emissions processos'!$E$13:$L$35,"emisiones",'6.2_Resultats Espanya'!E$71:E263)/1000)-SUM(H$72:H262)</f>
        <v>0</v>
      </c>
      <c r="I263" s="507"/>
      <c r="J263" s="508">
        <f t="shared" si="6"/>
        <v>0</v>
      </c>
      <c r="K263" s="508"/>
      <c r="L263" s="508"/>
      <c r="M263" s="508"/>
      <c r="N263" s="507">
        <f>(DSUM('4.2_Electricitat Espanya'!$E$19:$J$41,"emisiones",'6.2_Resultats Espanya'!E$71:E263)/1000)-SUM(N$72:N262)</f>
        <v>0</v>
      </c>
      <c r="O263" s="507"/>
      <c r="P263" s="508">
        <f t="shared" si="7"/>
        <v>0</v>
      </c>
      <c r="Q263" s="508"/>
      <c r="R263" s="508"/>
      <c r="S263" s="400"/>
      <c r="T263" s="400"/>
      <c r="U263" s="400"/>
    </row>
    <row r="264" spans="5:21" x14ac:dyDescent="0.3">
      <c r="E264" s="197" t="str">
        <f>IF(Dades!C854="","",Dades!C854)</f>
        <v/>
      </c>
      <c r="F264" s="396">
        <f>(DSUM('1_Combustibles fòssils'!$E$17:$N$39,"emisiones",'6.2_Resultats Espanya'!E$71:E264)/1000)-SUM(F$72:F263)</f>
        <v>0</v>
      </c>
      <c r="G264" s="396">
        <f>(DSUM('2_Fluorats'!$E$11:$P$33,"emisiones",'6.2_Resultats Espanya'!E$71:E264)/1000)-SUM(G$72:G263)</f>
        <v>0</v>
      </c>
      <c r="H264" s="507">
        <f>(DSUM('3_Emissions processos'!$E$13:$L$35,"emisiones",'6.2_Resultats Espanya'!E$71:E264)/1000)-SUM(H$72:H263)</f>
        <v>0</v>
      </c>
      <c r="I264" s="507"/>
      <c r="J264" s="508">
        <f t="shared" si="6"/>
        <v>0</v>
      </c>
      <c r="K264" s="508"/>
      <c r="L264" s="508"/>
      <c r="M264" s="508"/>
      <c r="N264" s="507">
        <f>(DSUM('4.2_Electricitat Espanya'!$E$19:$J$41,"emisiones",'6.2_Resultats Espanya'!E$71:E264)/1000)-SUM(N$72:N263)</f>
        <v>0</v>
      </c>
      <c r="O264" s="507"/>
      <c r="P264" s="508">
        <f t="shared" si="7"/>
        <v>0</v>
      </c>
      <c r="Q264" s="508"/>
      <c r="R264" s="508"/>
      <c r="S264" s="400"/>
      <c r="T264" s="400"/>
      <c r="U264" s="400"/>
    </row>
    <row r="265" spans="5:21" x14ac:dyDescent="0.3">
      <c r="E265" s="197" t="str">
        <f>IF(Dades!C855="","",Dades!C855)</f>
        <v/>
      </c>
      <c r="F265" s="396">
        <f>(DSUM('1_Combustibles fòssils'!$E$17:$N$39,"emisiones",'6.2_Resultats Espanya'!E$71:E265)/1000)-SUM(F$72:F264)</f>
        <v>0</v>
      </c>
      <c r="G265" s="396">
        <f>(DSUM('2_Fluorats'!$E$11:$P$33,"emisiones",'6.2_Resultats Espanya'!E$71:E265)/1000)-SUM(G$72:G264)</f>
        <v>0</v>
      </c>
      <c r="H265" s="507">
        <f>(DSUM('3_Emissions processos'!$E$13:$L$35,"emisiones",'6.2_Resultats Espanya'!E$71:E265)/1000)-SUM(H$72:H264)</f>
        <v>0</v>
      </c>
      <c r="I265" s="507"/>
      <c r="J265" s="508">
        <f t="shared" si="6"/>
        <v>0</v>
      </c>
      <c r="K265" s="508"/>
      <c r="L265" s="508"/>
      <c r="M265" s="508"/>
      <c r="N265" s="507">
        <f>(DSUM('4.2_Electricitat Espanya'!$E$19:$J$41,"emisiones",'6.2_Resultats Espanya'!E$71:E265)/1000)-SUM(N$72:N264)</f>
        <v>0</v>
      </c>
      <c r="O265" s="507"/>
      <c r="P265" s="508">
        <f t="shared" si="7"/>
        <v>0</v>
      </c>
      <c r="Q265" s="508"/>
      <c r="R265" s="508"/>
      <c r="S265" s="400"/>
      <c r="T265" s="400"/>
      <c r="U265" s="400"/>
    </row>
    <row r="266" spans="5:21" x14ac:dyDescent="0.3">
      <c r="E266" s="197" t="str">
        <f>IF(Dades!C856="","",Dades!C856)</f>
        <v/>
      </c>
      <c r="F266" s="396">
        <f>(DSUM('1_Combustibles fòssils'!$E$17:$N$39,"emisiones",'6.2_Resultats Espanya'!E$71:E266)/1000)-SUM(F$72:F265)</f>
        <v>0</v>
      </c>
      <c r="G266" s="396">
        <f>(DSUM('2_Fluorats'!$E$11:$P$33,"emisiones",'6.2_Resultats Espanya'!E$71:E266)/1000)-SUM(G$72:G265)</f>
        <v>0</v>
      </c>
      <c r="H266" s="507">
        <f>(DSUM('3_Emissions processos'!$E$13:$L$35,"emisiones",'6.2_Resultats Espanya'!E$71:E266)/1000)-SUM(H$72:H265)</f>
        <v>0</v>
      </c>
      <c r="I266" s="507"/>
      <c r="J266" s="508">
        <f t="shared" ref="J266:J321" si="8">SUM(F266:I266)</f>
        <v>0</v>
      </c>
      <c r="K266" s="508"/>
      <c r="L266" s="508"/>
      <c r="M266" s="508"/>
      <c r="N266" s="507">
        <f>(DSUM('4.2_Electricitat Espanya'!$E$19:$J$41,"emisiones",'6.2_Resultats Espanya'!E$71:E266)/1000)-SUM(N$72:N265)</f>
        <v>0</v>
      </c>
      <c r="O266" s="507"/>
      <c r="P266" s="508">
        <f t="shared" ref="P266:P321" si="9">J266+N266</f>
        <v>0</v>
      </c>
      <c r="Q266" s="508"/>
      <c r="R266" s="508"/>
      <c r="S266" s="400"/>
      <c r="T266" s="400"/>
      <c r="U266" s="400"/>
    </row>
    <row r="267" spans="5:21" x14ac:dyDescent="0.3">
      <c r="E267" s="197" t="str">
        <f>IF(Dades!C857="","",Dades!C857)</f>
        <v/>
      </c>
      <c r="F267" s="396">
        <f>(DSUM('1_Combustibles fòssils'!$E$17:$N$39,"emisiones",'6.2_Resultats Espanya'!E$71:E267)/1000)-SUM(F$72:F266)</f>
        <v>0</v>
      </c>
      <c r="G267" s="396">
        <f>(DSUM('2_Fluorats'!$E$11:$P$33,"emisiones",'6.2_Resultats Espanya'!E$71:E267)/1000)-SUM(G$72:G266)</f>
        <v>0</v>
      </c>
      <c r="H267" s="507">
        <f>(DSUM('3_Emissions processos'!$E$13:$L$35,"emisiones",'6.2_Resultats Espanya'!E$71:E267)/1000)-SUM(H$72:H266)</f>
        <v>0</v>
      </c>
      <c r="I267" s="507"/>
      <c r="J267" s="508">
        <f t="shared" si="8"/>
        <v>0</v>
      </c>
      <c r="K267" s="508"/>
      <c r="L267" s="508"/>
      <c r="M267" s="508"/>
      <c r="N267" s="507">
        <f>(DSUM('4.2_Electricitat Espanya'!$E$19:$J$41,"emisiones",'6.2_Resultats Espanya'!E$71:E267)/1000)-SUM(N$72:N266)</f>
        <v>0</v>
      </c>
      <c r="O267" s="507"/>
      <c r="P267" s="508">
        <f t="shared" si="9"/>
        <v>0</v>
      </c>
      <c r="Q267" s="508"/>
      <c r="R267" s="508"/>
      <c r="S267" s="400"/>
      <c r="T267" s="400"/>
      <c r="U267" s="400"/>
    </row>
    <row r="268" spans="5:21" x14ac:dyDescent="0.3">
      <c r="E268" s="197" t="str">
        <f>IF(Dades!C858="","",Dades!C858)</f>
        <v/>
      </c>
      <c r="F268" s="396">
        <f>(DSUM('1_Combustibles fòssils'!$E$17:$N$39,"emisiones",'6.2_Resultats Espanya'!E$71:E268)/1000)-SUM(F$72:F267)</f>
        <v>0</v>
      </c>
      <c r="G268" s="396">
        <f>(DSUM('2_Fluorats'!$E$11:$P$33,"emisiones",'6.2_Resultats Espanya'!E$71:E268)/1000)-SUM(G$72:G267)</f>
        <v>0</v>
      </c>
      <c r="H268" s="507">
        <f>(DSUM('3_Emissions processos'!$E$13:$L$35,"emisiones",'6.2_Resultats Espanya'!E$71:E268)/1000)-SUM(H$72:H267)</f>
        <v>0</v>
      </c>
      <c r="I268" s="507"/>
      <c r="J268" s="508">
        <f t="shared" si="8"/>
        <v>0</v>
      </c>
      <c r="K268" s="508"/>
      <c r="L268" s="508"/>
      <c r="M268" s="508"/>
      <c r="N268" s="507">
        <f>(DSUM('4.2_Electricitat Espanya'!$E$19:$J$41,"emisiones",'6.2_Resultats Espanya'!E$71:E268)/1000)-SUM(N$72:N267)</f>
        <v>0</v>
      </c>
      <c r="O268" s="507"/>
      <c r="P268" s="508">
        <f t="shared" si="9"/>
        <v>0</v>
      </c>
      <c r="Q268" s="508"/>
      <c r="R268" s="508"/>
      <c r="S268" s="400"/>
      <c r="T268" s="400"/>
      <c r="U268" s="400"/>
    </row>
    <row r="269" spans="5:21" x14ac:dyDescent="0.3">
      <c r="E269" s="197" t="str">
        <f>IF(Dades!C859="","",Dades!C859)</f>
        <v/>
      </c>
      <c r="F269" s="396">
        <f>(DSUM('1_Combustibles fòssils'!$E$17:$N$39,"emisiones",'6.2_Resultats Espanya'!E$71:E269)/1000)-SUM(F$72:F268)</f>
        <v>0</v>
      </c>
      <c r="G269" s="396">
        <f>(DSUM('2_Fluorats'!$E$11:$P$33,"emisiones",'6.2_Resultats Espanya'!E$71:E269)/1000)-SUM(G$72:G268)</f>
        <v>0</v>
      </c>
      <c r="H269" s="507">
        <f>(DSUM('3_Emissions processos'!$E$13:$L$35,"emisiones",'6.2_Resultats Espanya'!E$71:E269)/1000)-SUM(H$72:H268)</f>
        <v>0</v>
      </c>
      <c r="I269" s="507"/>
      <c r="J269" s="508">
        <f t="shared" si="8"/>
        <v>0</v>
      </c>
      <c r="K269" s="508"/>
      <c r="L269" s="508"/>
      <c r="M269" s="508"/>
      <c r="N269" s="507">
        <f>(DSUM('4.2_Electricitat Espanya'!$E$19:$J$41,"emisiones",'6.2_Resultats Espanya'!E$71:E269)/1000)-SUM(N$72:N268)</f>
        <v>0</v>
      </c>
      <c r="O269" s="507"/>
      <c r="P269" s="508">
        <f t="shared" si="9"/>
        <v>0</v>
      </c>
      <c r="Q269" s="508"/>
      <c r="R269" s="508"/>
      <c r="S269" s="400"/>
      <c r="T269" s="400"/>
      <c r="U269" s="400"/>
    </row>
    <row r="270" spans="5:21" x14ac:dyDescent="0.3">
      <c r="E270" s="197" t="str">
        <f>IF(Dades!C860="","",Dades!C860)</f>
        <v/>
      </c>
      <c r="F270" s="396">
        <f>(DSUM('1_Combustibles fòssils'!$E$17:$N$39,"emisiones",'6.2_Resultats Espanya'!E$71:E270)/1000)-SUM(F$72:F269)</f>
        <v>0</v>
      </c>
      <c r="G270" s="396">
        <f>(DSUM('2_Fluorats'!$E$11:$P$33,"emisiones",'6.2_Resultats Espanya'!E$71:E270)/1000)-SUM(G$72:G269)</f>
        <v>0</v>
      </c>
      <c r="H270" s="507">
        <f>(DSUM('3_Emissions processos'!$E$13:$L$35,"emisiones",'6.2_Resultats Espanya'!E$71:E270)/1000)-SUM(H$72:H269)</f>
        <v>0</v>
      </c>
      <c r="I270" s="507"/>
      <c r="J270" s="508">
        <f t="shared" si="8"/>
        <v>0</v>
      </c>
      <c r="K270" s="508"/>
      <c r="L270" s="508"/>
      <c r="M270" s="508"/>
      <c r="N270" s="507">
        <f>(DSUM('4.2_Electricitat Espanya'!$E$19:$J$41,"emisiones",'6.2_Resultats Espanya'!E$71:E270)/1000)-SUM(N$72:N269)</f>
        <v>0</v>
      </c>
      <c r="O270" s="507"/>
      <c r="P270" s="508">
        <f t="shared" si="9"/>
        <v>0</v>
      </c>
      <c r="Q270" s="508"/>
      <c r="R270" s="508"/>
      <c r="S270" s="400"/>
      <c r="T270" s="400"/>
      <c r="U270" s="400"/>
    </row>
    <row r="271" spans="5:21" x14ac:dyDescent="0.3">
      <c r="E271" s="197" t="str">
        <f>IF(Dades!C861="","",Dades!C861)</f>
        <v/>
      </c>
      <c r="F271" s="396">
        <f>(DSUM('1_Combustibles fòssils'!$E$17:$N$39,"emisiones",'6.2_Resultats Espanya'!E$71:E271)/1000)-SUM(F$72:F270)</f>
        <v>0</v>
      </c>
      <c r="G271" s="396">
        <f>(DSUM('2_Fluorats'!$E$11:$P$33,"emisiones",'6.2_Resultats Espanya'!E$71:E271)/1000)-SUM(G$72:G270)</f>
        <v>0</v>
      </c>
      <c r="H271" s="507">
        <f>(DSUM('3_Emissions processos'!$E$13:$L$35,"emisiones",'6.2_Resultats Espanya'!E$71:E271)/1000)-SUM(H$72:H270)</f>
        <v>0</v>
      </c>
      <c r="I271" s="507"/>
      <c r="J271" s="508">
        <f t="shared" si="8"/>
        <v>0</v>
      </c>
      <c r="K271" s="508"/>
      <c r="L271" s="508"/>
      <c r="M271" s="508"/>
      <c r="N271" s="507">
        <f>(DSUM('4.2_Electricitat Espanya'!$E$19:$J$41,"emisiones",'6.2_Resultats Espanya'!E$71:E271)/1000)-SUM(N$72:N270)</f>
        <v>0</v>
      </c>
      <c r="O271" s="507"/>
      <c r="P271" s="508">
        <f t="shared" si="9"/>
        <v>0</v>
      </c>
      <c r="Q271" s="508"/>
      <c r="R271" s="508"/>
      <c r="S271" s="400"/>
      <c r="T271" s="400"/>
      <c r="U271" s="400"/>
    </row>
    <row r="272" spans="5:21" x14ac:dyDescent="0.3">
      <c r="E272" s="197" t="str">
        <f>IF(Dades!C862="","",Dades!C862)</f>
        <v/>
      </c>
      <c r="F272" s="396">
        <f>(DSUM('1_Combustibles fòssils'!$E$17:$N$39,"emisiones",'6.2_Resultats Espanya'!E$71:E272)/1000)-SUM(F$72:F271)</f>
        <v>0</v>
      </c>
      <c r="G272" s="396">
        <f>(DSUM('2_Fluorats'!$E$11:$P$33,"emisiones",'6.2_Resultats Espanya'!E$71:E272)/1000)-SUM(G$72:G271)</f>
        <v>0</v>
      </c>
      <c r="H272" s="507">
        <f>(DSUM('3_Emissions processos'!$E$13:$L$35,"emisiones",'6.2_Resultats Espanya'!E$71:E272)/1000)-SUM(H$72:H271)</f>
        <v>0</v>
      </c>
      <c r="I272" s="507"/>
      <c r="J272" s="508">
        <f t="shared" si="8"/>
        <v>0</v>
      </c>
      <c r="K272" s="508"/>
      <c r="L272" s="508"/>
      <c r="M272" s="508"/>
      <c r="N272" s="507">
        <f>(DSUM('4.2_Electricitat Espanya'!$E$19:$J$41,"emisiones",'6.2_Resultats Espanya'!E$71:E272)/1000)-SUM(N$72:N271)</f>
        <v>0</v>
      </c>
      <c r="O272" s="507"/>
      <c r="P272" s="508">
        <f t="shared" si="9"/>
        <v>0</v>
      </c>
      <c r="Q272" s="508"/>
      <c r="R272" s="508"/>
      <c r="S272" s="400"/>
      <c r="T272" s="400"/>
      <c r="U272" s="400"/>
    </row>
    <row r="273" spans="5:21" x14ac:dyDescent="0.3">
      <c r="E273" s="197" t="str">
        <f>IF(Dades!C863="","",Dades!C863)</f>
        <v/>
      </c>
      <c r="F273" s="396">
        <f>(DSUM('1_Combustibles fòssils'!$E$17:$N$39,"emisiones",'6.2_Resultats Espanya'!E$71:E273)/1000)-SUM(F$72:F272)</f>
        <v>0</v>
      </c>
      <c r="G273" s="396">
        <f>(DSUM('2_Fluorats'!$E$11:$P$33,"emisiones",'6.2_Resultats Espanya'!E$71:E273)/1000)-SUM(G$72:G272)</f>
        <v>0</v>
      </c>
      <c r="H273" s="507">
        <f>(DSUM('3_Emissions processos'!$E$13:$L$35,"emisiones",'6.2_Resultats Espanya'!E$71:E273)/1000)-SUM(H$72:H272)</f>
        <v>0</v>
      </c>
      <c r="I273" s="507"/>
      <c r="J273" s="508">
        <f t="shared" si="8"/>
        <v>0</v>
      </c>
      <c r="K273" s="508"/>
      <c r="L273" s="508"/>
      <c r="M273" s="508"/>
      <c r="N273" s="507">
        <f>(DSUM('4.2_Electricitat Espanya'!$E$19:$J$41,"emisiones",'6.2_Resultats Espanya'!E$71:E273)/1000)-SUM(N$72:N272)</f>
        <v>0</v>
      </c>
      <c r="O273" s="507"/>
      <c r="P273" s="508">
        <f t="shared" si="9"/>
        <v>0</v>
      </c>
      <c r="Q273" s="508"/>
      <c r="R273" s="508"/>
      <c r="S273" s="400"/>
      <c r="T273" s="400"/>
      <c r="U273" s="400"/>
    </row>
    <row r="274" spans="5:21" x14ac:dyDescent="0.3">
      <c r="E274" s="197" t="str">
        <f>IF(Dades!C864="","",Dades!C864)</f>
        <v/>
      </c>
      <c r="F274" s="396">
        <f>(DSUM('1_Combustibles fòssils'!$E$17:$N$39,"emisiones",'6.2_Resultats Espanya'!E$71:E274)/1000)-SUM(F$72:F273)</f>
        <v>0</v>
      </c>
      <c r="G274" s="396">
        <f>(DSUM('2_Fluorats'!$E$11:$P$33,"emisiones",'6.2_Resultats Espanya'!E$71:E274)/1000)-SUM(G$72:G273)</f>
        <v>0</v>
      </c>
      <c r="H274" s="507">
        <f>(DSUM('3_Emissions processos'!$E$13:$L$35,"emisiones",'6.2_Resultats Espanya'!E$71:E274)/1000)-SUM(H$72:H273)</f>
        <v>0</v>
      </c>
      <c r="I274" s="507"/>
      <c r="J274" s="508">
        <f t="shared" si="8"/>
        <v>0</v>
      </c>
      <c r="K274" s="508"/>
      <c r="L274" s="508"/>
      <c r="M274" s="508"/>
      <c r="N274" s="507">
        <f>(DSUM('4.2_Electricitat Espanya'!$E$19:$J$41,"emisiones",'6.2_Resultats Espanya'!E$71:E274)/1000)-SUM(N$72:N273)</f>
        <v>0</v>
      </c>
      <c r="O274" s="507"/>
      <c r="P274" s="508">
        <f t="shared" si="9"/>
        <v>0</v>
      </c>
      <c r="Q274" s="508"/>
      <c r="R274" s="508"/>
      <c r="S274" s="400"/>
      <c r="T274" s="400"/>
      <c r="U274" s="400"/>
    </row>
    <row r="275" spans="5:21" x14ac:dyDescent="0.3">
      <c r="E275" s="197" t="str">
        <f>IF(Dades!C865="","",Dades!C865)</f>
        <v/>
      </c>
      <c r="F275" s="396">
        <f>(DSUM('1_Combustibles fòssils'!$E$17:$N$39,"emisiones",'6.2_Resultats Espanya'!E$71:E275)/1000)-SUM(F$72:F274)</f>
        <v>0</v>
      </c>
      <c r="G275" s="396">
        <f>(DSUM('2_Fluorats'!$E$11:$P$33,"emisiones",'6.2_Resultats Espanya'!E$71:E275)/1000)-SUM(G$72:G274)</f>
        <v>0</v>
      </c>
      <c r="H275" s="507">
        <f>(DSUM('3_Emissions processos'!$E$13:$L$35,"emisiones",'6.2_Resultats Espanya'!E$71:E275)/1000)-SUM(H$72:H274)</f>
        <v>0</v>
      </c>
      <c r="I275" s="507"/>
      <c r="J275" s="508">
        <f t="shared" si="8"/>
        <v>0</v>
      </c>
      <c r="K275" s="508"/>
      <c r="L275" s="508"/>
      <c r="M275" s="508"/>
      <c r="N275" s="507">
        <f>(DSUM('4.2_Electricitat Espanya'!$E$19:$J$41,"emisiones",'6.2_Resultats Espanya'!E$71:E275)/1000)-SUM(N$72:N274)</f>
        <v>0</v>
      </c>
      <c r="O275" s="507"/>
      <c r="P275" s="508">
        <f t="shared" si="9"/>
        <v>0</v>
      </c>
      <c r="Q275" s="508"/>
      <c r="R275" s="508"/>
      <c r="S275" s="400"/>
      <c r="T275" s="400"/>
      <c r="U275" s="400"/>
    </row>
    <row r="276" spans="5:21" x14ac:dyDescent="0.3">
      <c r="E276" s="197" t="str">
        <f>IF(Dades!C866="","",Dades!C866)</f>
        <v/>
      </c>
      <c r="F276" s="396">
        <f>(DSUM('1_Combustibles fòssils'!$E$17:$N$39,"emisiones",'6.2_Resultats Espanya'!E$71:E276)/1000)-SUM(F$72:F275)</f>
        <v>0</v>
      </c>
      <c r="G276" s="396">
        <f>(DSUM('2_Fluorats'!$E$11:$P$33,"emisiones",'6.2_Resultats Espanya'!E$71:E276)/1000)-SUM(G$72:G275)</f>
        <v>0</v>
      </c>
      <c r="H276" s="507">
        <f>(DSUM('3_Emissions processos'!$E$13:$L$35,"emisiones",'6.2_Resultats Espanya'!E$71:E276)/1000)-SUM(H$72:H275)</f>
        <v>0</v>
      </c>
      <c r="I276" s="507"/>
      <c r="J276" s="508">
        <f t="shared" si="8"/>
        <v>0</v>
      </c>
      <c r="K276" s="508"/>
      <c r="L276" s="508"/>
      <c r="M276" s="508"/>
      <c r="N276" s="507">
        <f>(DSUM('4.2_Electricitat Espanya'!$E$19:$J$41,"emisiones",'6.2_Resultats Espanya'!E$71:E276)/1000)-SUM(N$72:N275)</f>
        <v>0</v>
      </c>
      <c r="O276" s="507"/>
      <c r="P276" s="508">
        <f t="shared" si="9"/>
        <v>0</v>
      </c>
      <c r="Q276" s="508"/>
      <c r="R276" s="508"/>
      <c r="S276" s="400"/>
      <c r="T276" s="400"/>
      <c r="U276" s="400"/>
    </row>
    <row r="277" spans="5:21" x14ac:dyDescent="0.3">
      <c r="E277" s="197" t="str">
        <f>IF(Dades!C867="","",Dades!C867)</f>
        <v/>
      </c>
      <c r="F277" s="396">
        <f>(DSUM('1_Combustibles fòssils'!$E$17:$N$39,"emisiones",'6.2_Resultats Espanya'!E$71:E277)/1000)-SUM(F$72:F276)</f>
        <v>0</v>
      </c>
      <c r="G277" s="396">
        <f>(DSUM('2_Fluorats'!$E$11:$P$33,"emisiones",'6.2_Resultats Espanya'!E$71:E277)/1000)-SUM(G$72:G276)</f>
        <v>0</v>
      </c>
      <c r="H277" s="507">
        <f>(DSUM('3_Emissions processos'!$E$13:$L$35,"emisiones",'6.2_Resultats Espanya'!E$71:E277)/1000)-SUM(H$72:H276)</f>
        <v>0</v>
      </c>
      <c r="I277" s="507"/>
      <c r="J277" s="508">
        <f t="shared" si="8"/>
        <v>0</v>
      </c>
      <c r="K277" s="508"/>
      <c r="L277" s="508"/>
      <c r="M277" s="508"/>
      <c r="N277" s="507">
        <f>(DSUM('4.2_Electricitat Espanya'!$E$19:$J$41,"emisiones",'6.2_Resultats Espanya'!E$71:E277)/1000)-SUM(N$72:N276)</f>
        <v>0</v>
      </c>
      <c r="O277" s="507"/>
      <c r="P277" s="508">
        <f t="shared" si="9"/>
        <v>0</v>
      </c>
      <c r="Q277" s="508"/>
      <c r="R277" s="508"/>
      <c r="S277" s="400"/>
      <c r="T277" s="400"/>
      <c r="U277" s="400"/>
    </row>
    <row r="278" spans="5:21" x14ac:dyDescent="0.3">
      <c r="E278" s="197" t="str">
        <f>IF(Dades!C868="","",Dades!C868)</f>
        <v/>
      </c>
      <c r="F278" s="396">
        <f>(DSUM('1_Combustibles fòssils'!$E$17:$N$39,"emisiones",'6.2_Resultats Espanya'!E$71:E278)/1000)-SUM(F$72:F277)</f>
        <v>0</v>
      </c>
      <c r="G278" s="396">
        <f>(DSUM('2_Fluorats'!$E$11:$P$33,"emisiones",'6.2_Resultats Espanya'!E$71:E278)/1000)-SUM(G$72:G277)</f>
        <v>0</v>
      </c>
      <c r="H278" s="507">
        <f>(DSUM('3_Emissions processos'!$E$13:$L$35,"emisiones",'6.2_Resultats Espanya'!E$71:E278)/1000)-SUM(H$72:H277)</f>
        <v>0</v>
      </c>
      <c r="I278" s="507"/>
      <c r="J278" s="508">
        <f t="shared" si="8"/>
        <v>0</v>
      </c>
      <c r="K278" s="508"/>
      <c r="L278" s="508"/>
      <c r="M278" s="508"/>
      <c r="N278" s="507">
        <f>(DSUM('4.2_Electricitat Espanya'!$E$19:$J$41,"emisiones",'6.2_Resultats Espanya'!E$71:E278)/1000)-SUM(N$72:N277)</f>
        <v>0</v>
      </c>
      <c r="O278" s="507"/>
      <c r="P278" s="508">
        <f t="shared" si="9"/>
        <v>0</v>
      </c>
      <c r="Q278" s="508"/>
      <c r="R278" s="508"/>
      <c r="S278" s="400"/>
      <c r="T278" s="400"/>
      <c r="U278" s="400"/>
    </row>
    <row r="279" spans="5:21" x14ac:dyDescent="0.3">
      <c r="E279" s="197" t="str">
        <f>IF(Dades!C869="","",Dades!C869)</f>
        <v/>
      </c>
      <c r="F279" s="396">
        <f>(DSUM('1_Combustibles fòssils'!$E$17:$N$39,"emisiones",'6.2_Resultats Espanya'!E$71:E279)/1000)-SUM(F$72:F278)</f>
        <v>0</v>
      </c>
      <c r="G279" s="396">
        <f>(DSUM('2_Fluorats'!$E$11:$P$33,"emisiones",'6.2_Resultats Espanya'!E$71:E279)/1000)-SUM(G$72:G278)</f>
        <v>0</v>
      </c>
      <c r="H279" s="507">
        <f>(DSUM('3_Emissions processos'!$E$13:$L$35,"emisiones",'6.2_Resultats Espanya'!E$71:E279)/1000)-SUM(H$72:H278)</f>
        <v>0</v>
      </c>
      <c r="I279" s="507"/>
      <c r="J279" s="508">
        <f t="shared" si="8"/>
        <v>0</v>
      </c>
      <c r="K279" s="508"/>
      <c r="L279" s="508"/>
      <c r="M279" s="508"/>
      <c r="N279" s="507">
        <f>(DSUM('4.2_Electricitat Espanya'!$E$19:$J$41,"emisiones",'6.2_Resultats Espanya'!E$71:E279)/1000)-SUM(N$72:N278)</f>
        <v>0</v>
      </c>
      <c r="O279" s="507"/>
      <c r="P279" s="508">
        <f t="shared" si="9"/>
        <v>0</v>
      </c>
      <c r="Q279" s="508"/>
      <c r="R279" s="508"/>
      <c r="S279" s="400"/>
      <c r="T279" s="400"/>
      <c r="U279" s="400"/>
    </row>
    <row r="280" spans="5:21" x14ac:dyDescent="0.3">
      <c r="E280" s="197" t="str">
        <f>IF(Dades!C870="","",Dades!C870)</f>
        <v/>
      </c>
      <c r="F280" s="396">
        <f>(DSUM('1_Combustibles fòssils'!$E$17:$N$39,"emisiones",'6.2_Resultats Espanya'!E$71:E280)/1000)-SUM(F$72:F279)</f>
        <v>0</v>
      </c>
      <c r="G280" s="396">
        <f>(DSUM('2_Fluorats'!$E$11:$P$33,"emisiones",'6.2_Resultats Espanya'!E$71:E280)/1000)-SUM(G$72:G279)</f>
        <v>0</v>
      </c>
      <c r="H280" s="507">
        <f>(DSUM('3_Emissions processos'!$E$13:$L$35,"emisiones",'6.2_Resultats Espanya'!E$71:E280)/1000)-SUM(H$72:H279)</f>
        <v>0</v>
      </c>
      <c r="I280" s="507"/>
      <c r="J280" s="508">
        <f t="shared" si="8"/>
        <v>0</v>
      </c>
      <c r="K280" s="508"/>
      <c r="L280" s="508"/>
      <c r="M280" s="508"/>
      <c r="N280" s="507">
        <f>(DSUM('4.2_Electricitat Espanya'!$E$19:$J$41,"emisiones",'6.2_Resultats Espanya'!E$71:E280)/1000)-SUM(N$72:N279)</f>
        <v>0</v>
      </c>
      <c r="O280" s="507"/>
      <c r="P280" s="508">
        <f t="shared" si="9"/>
        <v>0</v>
      </c>
      <c r="Q280" s="508"/>
      <c r="R280" s="508"/>
      <c r="S280" s="400"/>
      <c r="T280" s="400"/>
      <c r="U280" s="400"/>
    </row>
    <row r="281" spans="5:21" x14ac:dyDescent="0.3">
      <c r="E281" s="197" t="str">
        <f>IF(Dades!C871="","",Dades!C871)</f>
        <v/>
      </c>
      <c r="F281" s="396">
        <f>(DSUM('1_Combustibles fòssils'!$E$17:$N$39,"emisiones",'6.2_Resultats Espanya'!E$71:E281)/1000)-SUM(F$72:F280)</f>
        <v>0</v>
      </c>
      <c r="G281" s="396">
        <f>(DSUM('2_Fluorats'!$E$11:$P$33,"emisiones",'6.2_Resultats Espanya'!E$71:E281)/1000)-SUM(G$72:G280)</f>
        <v>0</v>
      </c>
      <c r="H281" s="507">
        <f>(DSUM('3_Emissions processos'!$E$13:$L$35,"emisiones",'6.2_Resultats Espanya'!E$71:E281)/1000)-SUM(H$72:H280)</f>
        <v>0</v>
      </c>
      <c r="I281" s="507"/>
      <c r="J281" s="508">
        <f t="shared" si="8"/>
        <v>0</v>
      </c>
      <c r="K281" s="508"/>
      <c r="L281" s="508"/>
      <c r="M281" s="508"/>
      <c r="N281" s="507">
        <f>(DSUM('4.2_Electricitat Espanya'!$E$19:$J$41,"emisiones",'6.2_Resultats Espanya'!E$71:E281)/1000)-SUM(N$72:N280)</f>
        <v>0</v>
      </c>
      <c r="O281" s="507"/>
      <c r="P281" s="508">
        <f t="shared" si="9"/>
        <v>0</v>
      </c>
      <c r="Q281" s="508"/>
      <c r="R281" s="508"/>
      <c r="S281" s="400"/>
      <c r="T281" s="400"/>
      <c r="U281" s="400"/>
    </row>
    <row r="282" spans="5:21" x14ac:dyDescent="0.3">
      <c r="E282" s="197" t="str">
        <f>IF(Dades!C872="","",Dades!C872)</f>
        <v/>
      </c>
      <c r="F282" s="396">
        <f>(DSUM('1_Combustibles fòssils'!$E$17:$N$39,"emisiones",'6.2_Resultats Espanya'!E$71:E282)/1000)-SUM(F$72:F281)</f>
        <v>0</v>
      </c>
      <c r="G282" s="396">
        <f>(DSUM('2_Fluorats'!$E$11:$P$33,"emisiones",'6.2_Resultats Espanya'!E$71:E282)/1000)-SUM(G$72:G281)</f>
        <v>0</v>
      </c>
      <c r="H282" s="507">
        <f>(DSUM('3_Emissions processos'!$E$13:$L$35,"emisiones",'6.2_Resultats Espanya'!E$71:E282)/1000)-SUM(H$72:H281)</f>
        <v>0</v>
      </c>
      <c r="I282" s="507"/>
      <c r="J282" s="508">
        <f t="shared" si="8"/>
        <v>0</v>
      </c>
      <c r="K282" s="508"/>
      <c r="L282" s="508"/>
      <c r="M282" s="508"/>
      <c r="N282" s="507">
        <f>(DSUM('4.2_Electricitat Espanya'!$E$19:$J$41,"emisiones",'6.2_Resultats Espanya'!E$71:E282)/1000)-SUM(N$72:N281)</f>
        <v>0</v>
      </c>
      <c r="O282" s="507"/>
      <c r="P282" s="508">
        <f t="shared" si="9"/>
        <v>0</v>
      </c>
      <c r="Q282" s="508"/>
      <c r="R282" s="508"/>
      <c r="S282" s="400"/>
      <c r="T282" s="400"/>
      <c r="U282" s="400"/>
    </row>
    <row r="283" spans="5:21" x14ac:dyDescent="0.3">
      <c r="E283" s="197" t="str">
        <f>IF(Dades!C873="","",Dades!C873)</f>
        <v/>
      </c>
      <c r="F283" s="396">
        <f>(DSUM('1_Combustibles fòssils'!$E$17:$N$39,"emisiones",'6.2_Resultats Espanya'!E$71:E283)/1000)-SUM(F$72:F282)</f>
        <v>0</v>
      </c>
      <c r="G283" s="396">
        <f>(DSUM('2_Fluorats'!$E$11:$P$33,"emisiones",'6.2_Resultats Espanya'!E$71:E283)/1000)-SUM(G$72:G282)</f>
        <v>0</v>
      </c>
      <c r="H283" s="507">
        <f>(DSUM('3_Emissions processos'!$E$13:$L$35,"emisiones",'6.2_Resultats Espanya'!E$71:E283)/1000)-SUM(H$72:H282)</f>
        <v>0</v>
      </c>
      <c r="I283" s="507"/>
      <c r="J283" s="508">
        <f t="shared" si="8"/>
        <v>0</v>
      </c>
      <c r="K283" s="508"/>
      <c r="L283" s="508"/>
      <c r="M283" s="508"/>
      <c r="N283" s="507">
        <f>(DSUM('4.2_Electricitat Espanya'!$E$19:$J$41,"emisiones",'6.2_Resultats Espanya'!E$71:E283)/1000)-SUM(N$72:N282)</f>
        <v>0</v>
      </c>
      <c r="O283" s="507"/>
      <c r="P283" s="508">
        <f t="shared" si="9"/>
        <v>0</v>
      </c>
      <c r="Q283" s="508"/>
      <c r="R283" s="508"/>
      <c r="S283" s="400"/>
      <c r="T283" s="400"/>
      <c r="U283" s="400"/>
    </row>
    <row r="284" spans="5:21" x14ac:dyDescent="0.3">
      <c r="E284" s="197" t="str">
        <f>IF(Dades!C874="","",Dades!C874)</f>
        <v/>
      </c>
      <c r="F284" s="396">
        <f>(DSUM('1_Combustibles fòssils'!$E$17:$N$39,"emisiones",'6.2_Resultats Espanya'!E$71:E284)/1000)-SUM(F$72:F283)</f>
        <v>0</v>
      </c>
      <c r="G284" s="396">
        <f>(DSUM('2_Fluorats'!$E$11:$P$33,"emisiones",'6.2_Resultats Espanya'!E$71:E284)/1000)-SUM(G$72:G283)</f>
        <v>0</v>
      </c>
      <c r="H284" s="507">
        <f>(DSUM('3_Emissions processos'!$E$13:$L$35,"emisiones",'6.2_Resultats Espanya'!E$71:E284)/1000)-SUM(H$72:H283)</f>
        <v>0</v>
      </c>
      <c r="I284" s="507"/>
      <c r="J284" s="508">
        <f t="shared" si="8"/>
        <v>0</v>
      </c>
      <c r="K284" s="508"/>
      <c r="L284" s="508"/>
      <c r="M284" s="508"/>
      <c r="N284" s="507">
        <f>(DSUM('4.2_Electricitat Espanya'!$E$19:$J$41,"emisiones",'6.2_Resultats Espanya'!E$71:E284)/1000)-SUM(N$72:N283)</f>
        <v>0</v>
      </c>
      <c r="O284" s="507"/>
      <c r="P284" s="508">
        <f t="shared" si="9"/>
        <v>0</v>
      </c>
      <c r="Q284" s="508"/>
      <c r="R284" s="508"/>
      <c r="S284" s="400"/>
      <c r="T284" s="400"/>
      <c r="U284" s="400"/>
    </row>
    <row r="285" spans="5:21" x14ac:dyDescent="0.3">
      <c r="E285" s="197" t="str">
        <f>IF(Dades!C875="","",Dades!C875)</f>
        <v/>
      </c>
      <c r="F285" s="396">
        <f>(DSUM('1_Combustibles fòssils'!$E$17:$N$39,"emisiones",'6.2_Resultats Espanya'!E$71:E285)/1000)-SUM(F$72:F284)</f>
        <v>0</v>
      </c>
      <c r="G285" s="396">
        <f>(DSUM('2_Fluorats'!$E$11:$P$33,"emisiones",'6.2_Resultats Espanya'!E$71:E285)/1000)-SUM(G$72:G284)</f>
        <v>0</v>
      </c>
      <c r="H285" s="507">
        <f>(DSUM('3_Emissions processos'!$E$13:$L$35,"emisiones",'6.2_Resultats Espanya'!E$71:E285)/1000)-SUM(H$72:H284)</f>
        <v>0</v>
      </c>
      <c r="I285" s="507"/>
      <c r="J285" s="508">
        <f t="shared" si="8"/>
        <v>0</v>
      </c>
      <c r="K285" s="508"/>
      <c r="L285" s="508"/>
      <c r="M285" s="508"/>
      <c r="N285" s="507">
        <f>(DSUM('4.2_Electricitat Espanya'!$E$19:$J$41,"emisiones",'6.2_Resultats Espanya'!E$71:E285)/1000)-SUM(N$72:N284)</f>
        <v>0</v>
      </c>
      <c r="O285" s="507"/>
      <c r="P285" s="508">
        <f t="shared" si="9"/>
        <v>0</v>
      </c>
      <c r="Q285" s="508"/>
      <c r="R285" s="508"/>
      <c r="S285" s="400"/>
      <c r="T285" s="400"/>
      <c r="U285" s="400"/>
    </row>
    <row r="286" spans="5:21" x14ac:dyDescent="0.3">
      <c r="E286" s="197" t="str">
        <f>IF(Dades!C876="","",Dades!C876)</f>
        <v/>
      </c>
      <c r="F286" s="396">
        <f>(DSUM('1_Combustibles fòssils'!$E$17:$N$39,"emisiones",'6.2_Resultats Espanya'!E$71:E286)/1000)-SUM(F$72:F285)</f>
        <v>0</v>
      </c>
      <c r="G286" s="396">
        <f>(DSUM('2_Fluorats'!$E$11:$P$33,"emisiones",'6.2_Resultats Espanya'!E$71:E286)/1000)-SUM(G$72:G285)</f>
        <v>0</v>
      </c>
      <c r="H286" s="507">
        <f>(DSUM('3_Emissions processos'!$E$13:$L$35,"emisiones",'6.2_Resultats Espanya'!E$71:E286)/1000)-SUM(H$72:H285)</f>
        <v>0</v>
      </c>
      <c r="I286" s="507"/>
      <c r="J286" s="508">
        <f t="shared" si="8"/>
        <v>0</v>
      </c>
      <c r="K286" s="508"/>
      <c r="L286" s="508"/>
      <c r="M286" s="508"/>
      <c r="N286" s="507">
        <f>(DSUM('4.2_Electricitat Espanya'!$E$19:$J$41,"emisiones",'6.2_Resultats Espanya'!E$71:E286)/1000)-SUM(N$72:N285)</f>
        <v>0</v>
      </c>
      <c r="O286" s="507"/>
      <c r="P286" s="508">
        <f t="shared" si="9"/>
        <v>0</v>
      </c>
      <c r="Q286" s="508"/>
      <c r="R286" s="508"/>
      <c r="S286" s="400"/>
      <c r="T286" s="400"/>
      <c r="U286" s="400"/>
    </row>
    <row r="287" spans="5:21" x14ac:dyDescent="0.3">
      <c r="E287" s="197" t="str">
        <f>IF(Dades!C877="","",Dades!C877)</f>
        <v/>
      </c>
      <c r="F287" s="396">
        <f>(DSUM('1_Combustibles fòssils'!$E$17:$N$39,"emisiones",'6.2_Resultats Espanya'!E$71:E287)/1000)-SUM(F$72:F286)</f>
        <v>0</v>
      </c>
      <c r="G287" s="396">
        <f>(DSUM('2_Fluorats'!$E$11:$P$33,"emisiones",'6.2_Resultats Espanya'!E$71:E287)/1000)-SUM(G$72:G286)</f>
        <v>0</v>
      </c>
      <c r="H287" s="507">
        <f>(DSUM('3_Emissions processos'!$E$13:$L$35,"emisiones",'6.2_Resultats Espanya'!E$71:E287)/1000)-SUM(H$72:H286)</f>
        <v>0</v>
      </c>
      <c r="I287" s="507"/>
      <c r="J287" s="508">
        <f t="shared" si="8"/>
        <v>0</v>
      </c>
      <c r="K287" s="508"/>
      <c r="L287" s="508"/>
      <c r="M287" s="508"/>
      <c r="N287" s="507">
        <f>(DSUM('4.2_Electricitat Espanya'!$E$19:$J$41,"emisiones",'6.2_Resultats Espanya'!E$71:E287)/1000)-SUM(N$72:N286)</f>
        <v>0</v>
      </c>
      <c r="O287" s="507"/>
      <c r="P287" s="508">
        <f t="shared" si="9"/>
        <v>0</v>
      </c>
      <c r="Q287" s="508"/>
      <c r="R287" s="508"/>
      <c r="S287" s="400"/>
      <c r="T287" s="400"/>
      <c r="U287" s="400"/>
    </row>
    <row r="288" spans="5:21" x14ac:dyDescent="0.3">
      <c r="E288" s="197" t="str">
        <f>IF(Dades!C878="","",Dades!C878)</f>
        <v/>
      </c>
      <c r="F288" s="396">
        <f>(DSUM('1_Combustibles fòssils'!$E$17:$N$39,"emisiones",'6.2_Resultats Espanya'!E$71:E288)/1000)-SUM(F$72:F287)</f>
        <v>0</v>
      </c>
      <c r="G288" s="396">
        <f>(DSUM('2_Fluorats'!$E$11:$P$33,"emisiones",'6.2_Resultats Espanya'!E$71:E288)/1000)-SUM(G$72:G287)</f>
        <v>0</v>
      </c>
      <c r="H288" s="507">
        <f>(DSUM('3_Emissions processos'!$E$13:$L$35,"emisiones",'6.2_Resultats Espanya'!E$71:E288)/1000)-SUM(H$72:H287)</f>
        <v>0</v>
      </c>
      <c r="I288" s="507"/>
      <c r="J288" s="508">
        <f t="shared" si="8"/>
        <v>0</v>
      </c>
      <c r="K288" s="508"/>
      <c r="L288" s="508"/>
      <c r="M288" s="508"/>
      <c r="N288" s="507">
        <f>(DSUM('4.2_Electricitat Espanya'!$E$19:$J$41,"emisiones",'6.2_Resultats Espanya'!E$71:E288)/1000)-SUM(N$72:N287)</f>
        <v>0</v>
      </c>
      <c r="O288" s="507"/>
      <c r="P288" s="508">
        <f t="shared" si="9"/>
        <v>0</v>
      </c>
      <c r="Q288" s="508"/>
      <c r="R288" s="508"/>
      <c r="S288" s="400"/>
      <c r="T288" s="400"/>
      <c r="U288" s="400"/>
    </row>
    <row r="289" spans="5:21" x14ac:dyDescent="0.3">
      <c r="E289" s="197" t="str">
        <f>IF(Dades!C879="","",Dades!C879)</f>
        <v/>
      </c>
      <c r="F289" s="396">
        <f>(DSUM('1_Combustibles fòssils'!$E$17:$N$39,"emisiones",'6.2_Resultats Espanya'!E$71:E289)/1000)-SUM(F$72:F288)</f>
        <v>0</v>
      </c>
      <c r="G289" s="396">
        <f>(DSUM('2_Fluorats'!$E$11:$P$33,"emisiones",'6.2_Resultats Espanya'!E$71:E289)/1000)-SUM(G$72:G288)</f>
        <v>0</v>
      </c>
      <c r="H289" s="507">
        <f>(DSUM('3_Emissions processos'!$E$13:$L$35,"emisiones",'6.2_Resultats Espanya'!E$71:E289)/1000)-SUM(H$72:H288)</f>
        <v>0</v>
      </c>
      <c r="I289" s="507"/>
      <c r="J289" s="508">
        <f t="shared" si="8"/>
        <v>0</v>
      </c>
      <c r="K289" s="508"/>
      <c r="L289" s="508"/>
      <c r="M289" s="508"/>
      <c r="N289" s="507">
        <f>(DSUM('4.2_Electricitat Espanya'!$E$19:$J$41,"emisiones",'6.2_Resultats Espanya'!E$71:E289)/1000)-SUM(N$72:N288)</f>
        <v>0</v>
      </c>
      <c r="O289" s="507"/>
      <c r="P289" s="508">
        <f t="shared" si="9"/>
        <v>0</v>
      </c>
      <c r="Q289" s="508"/>
      <c r="R289" s="508"/>
      <c r="S289" s="400"/>
      <c r="T289" s="400"/>
      <c r="U289" s="400"/>
    </row>
    <row r="290" spans="5:21" x14ac:dyDescent="0.3">
      <c r="E290" s="197" t="str">
        <f>IF(Dades!C880="","",Dades!C880)</f>
        <v/>
      </c>
      <c r="F290" s="396">
        <f>(DSUM('1_Combustibles fòssils'!$E$17:$N$39,"emisiones",'6.2_Resultats Espanya'!E$71:E290)/1000)-SUM(F$72:F289)</f>
        <v>0</v>
      </c>
      <c r="G290" s="396">
        <f>(DSUM('2_Fluorats'!$E$11:$P$33,"emisiones",'6.2_Resultats Espanya'!E$71:E290)/1000)-SUM(G$72:G289)</f>
        <v>0</v>
      </c>
      <c r="H290" s="507">
        <f>(DSUM('3_Emissions processos'!$E$13:$L$35,"emisiones",'6.2_Resultats Espanya'!E$71:E290)/1000)-SUM(H$72:H289)</f>
        <v>0</v>
      </c>
      <c r="I290" s="507"/>
      <c r="J290" s="508">
        <f t="shared" si="8"/>
        <v>0</v>
      </c>
      <c r="K290" s="508"/>
      <c r="L290" s="508"/>
      <c r="M290" s="508"/>
      <c r="N290" s="507">
        <f>(DSUM('4.2_Electricitat Espanya'!$E$19:$J$41,"emisiones",'6.2_Resultats Espanya'!E$71:E290)/1000)-SUM(N$72:N289)</f>
        <v>0</v>
      </c>
      <c r="O290" s="507"/>
      <c r="P290" s="508">
        <f t="shared" si="9"/>
        <v>0</v>
      </c>
      <c r="Q290" s="508"/>
      <c r="R290" s="508"/>
      <c r="S290" s="400"/>
      <c r="T290" s="400"/>
      <c r="U290" s="400"/>
    </row>
    <row r="291" spans="5:21" x14ac:dyDescent="0.3">
      <c r="E291" s="197" t="str">
        <f>IF(Dades!C881="","",Dades!C881)</f>
        <v/>
      </c>
      <c r="F291" s="396">
        <f>(DSUM('1_Combustibles fòssils'!$E$17:$N$39,"emisiones",'6.2_Resultats Espanya'!E$71:E291)/1000)-SUM(F$72:F290)</f>
        <v>0</v>
      </c>
      <c r="G291" s="396">
        <f>(DSUM('2_Fluorats'!$E$11:$P$33,"emisiones",'6.2_Resultats Espanya'!E$71:E291)/1000)-SUM(G$72:G290)</f>
        <v>0</v>
      </c>
      <c r="H291" s="507">
        <f>(DSUM('3_Emissions processos'!$E$13:$L$35,"emisiones",'6.2_Resultats Espanya'!E$71:E291)/1000)-SUM(H$72:H290)</f>
        <v>0</v>
      </c>
      <c r="I291" s="507"/>
      <c r="J291" s="508">
        <f t="shared" si="8"/>
        <v>0</v>
      </c>
      <c r="K291" s="508"/>
      <c r="L291" s="508"/>
      <c r="M291" s="508"/>
      <c r="N291" s="507">
        <f>(DSUM('4.2_Electricitat Espanya'!$E$19:$J$41,"emisiones",'6.2_Resultats Espanya'!E$71:E291)/1000)-SUM(N$72:N290)</f>
        <v>0</v>
      </c>
      <c r="O291" s="507"/>
      <c r="P291" s="508">
        <f t="shared" si="9"/>
        <v>0</v>
      </c>
      <c r="Q291" s="508"/>
      <c r="R291" s="508"/>
      <c r="S291" s="400"/>
      <c r="T291" s="400"/>
      <c r="U291" s="400"/>
    </row>
    <row r="292" spans="5:21" x14ac:dyDescent="0.3">
      <c r="E292" s="197" t="str">
        <f>IF(Dades!C882="","",Dades!C882)</f>
        <v/>
      </c>
      <c r="F292" s="396">
        <f>(DSUM('1_Combustibles fòssils'!$E$17:$N$39,"emisiones",'6.2_Resultats Espanya'!E$71:E292)/1000)-SUM(F$72:F291)</f>
        <v>0</v>
      </c>
      <c r="G292" s="396">
        <f>(DSUM('2_Fluorats'!$E$11:$P$33,"emisiones",'6.2_Resultats Espanya'!E$71:E292)/1000)-SUM(G$72:G291)</f>
        <v>0</v>
      </c>
      <c r="H292" s="507">
        <f>(DSUM('3_Emissions processos'!$E$13:$L$35,"emisiones",'6.2_Resultats Espanya'!E$71:E292)/1000)-SUM(H$72:H291)</f>
        <v>0</v>
      </c>
      <c r="I292" s="507"/>
      <c r="J292" s="508">
        <f t="shared" si="8"/>
        <v>0</v>
      </c>
      <c r="K292" s="508"/>
      <c r="L292" s="508"/>
      <c r="M292" s="508"/>
      <c r="N292" s="507">
        <f>(DSUM('4.2_Electricitat Espanya'!$E$19:$J$41,"emisiones",'6.2_Resultats Espanya'!E$71:E292)/1000)-SUM(N$72:N291)</f>
        <v>0</v>
      </c>
      <c r="O292" s="507"/>
      <c r="P292" s="508">
        <f t="shared" si="9"/>
        <v>0</v>
      </c>
      <c r="Q292" s="508"/>
      <c r="R292" s="508"/>
      <c r="S292" s="400"/>
      <c r="T292" s="400"/>
      <c r="U292" s="400"/>
    </row>
    <row r="293" spans="5:21" x14ac:dyDescent="0.3">
      <c r="E293" s="197" t="str">
        <f>IF(Dades!C883="","",Dades!C883)</f>
        <v/>
      </c>
      <c r="F293" s="396">
        <f>(DSUM('1_Combustibles fòssils'!$E$17:$N$39,"emisiones",'6.2_Resultats Espanya'!E$71:E293)/1000)-SUM(F$72:F292)</f>
        <v>0</v>
      </c>
      <c r="G293" s="396">
        <f>(DSUM('2_Fluorats'!$E$11:$P$33,"emisiones",'6.2_Resultats Espanya'!E$71:E293)/1000)-SUM(G$72:G292)</f>
        <v>0</v>
      </c>
      <c r="H293" s="507">
        <f>(DSUM('3_Emissions processos'!$E$13:$L$35,"emisiones",'6.2_Resultats Espanya'!E$71:E293)/1000)-SUM(H$72:H292)</f>
        <v>0</v>
      </c>
      <c r="I293" s="507"/>
      <c r="J293" s="508">
        <f t="shared" si="8"/>
        <v>0</v>
      </c>
      <c r="K293" s="508"/>
      <c r="L293" s="508"/>
      <c r="M293" s="508"/>
      <c r="N293" s="507">
        <f>(DSUM('4.2_Electricitat Espanya'!$E$19:$J$41,"emisiones",'6.2_Resultats Espanya'!E$71:E293)/1000)-SUM(N$72:N292)</f>
        <v>0</v>
      </c>
      <c r="O293" s="507"/>
      <c r="P293" s="508">
        <f t="shared" si="9"/>
        <v>0</v>
      </c>
      <c r="Q293" s="508"/>
      <c r="R293" s="508"/>
      <c r="S293" s="400"/>
      <c r="T293" s="400"/>
      <c r="U293" s="400"/>
    </row>
    <row r="294" spans="5:21" x14ac:dyDescent="0.3">
      <c r="E294" s="197" t="str">
        <f>IF(Dades!C884="","",Dades!C884)</f>
        <v/>
      </c>
      <c r="F294" s="396">
        <f>(DSUM('1_Combustibles fòssils'!$E$17:$N$39,"emisiones",'6.2_Resultats Espanya'!E$71:E294)/1000)-SUM(F$72:F293)</f>
        <v>0</v>
      </c>
      <c r="G294" s="396">
        <f>(DSUM('2_Fluorats'!$E$11:$P$33,"emisiones",'6.2_Resultats Espanya'!E$71:E294)/1000)-SUM(G$72:G293)</f>
        <v>0</v>
      </c>
      <c r="H294" s="507">
        <f>(DSUM('3_Emissions processos'!$E$13:$L$35,"emisiones",'6.2_Resultats Espanya'!E$71:E294)/1000)-SUM(H$72:H293)</f>
        <v>0</v>
      </c>
      <c r="I294" s="507"/>
      <c r="J294" s="508">
        <f t="shared" si="8"/>
        <v>0</v>
      </c>
      <c r="K294" s="508"/>
      <c r="L294" s="508"/>
      <c r="M294" s="508"/>
      <c r="N294" s="507">
        <f>(DSUM('4.2_Electricitat Espanya'!$E$19:$J$41,"emisiones",'6.2_Resultats Espanya'!E$71:E294)/1000)-SUM(N$72:N293)</f>
        <v>0</v>
      </c>
      <c r="O294" s="507"/>
      <c r="P294" s="508">
        <f t="shared" si="9"/>
        <v>0</v>
      </c>
      <c r="Q294" s="508"/>
      <c r="R294" s="508"/>
      <c r="S294" s="400"/>
      <c r="T294" s="400"/>
      <c r="U294" s="400"/>
    </row>
    <row r="295" spans="5:21" x14ac:dyDescent="0.3">
      <c r="E295" s="197" t="str">
        <f>IF(Dades!C885="","",Dades!C885)</f>
        <v/>
      </c>
      <c r="F295" s="396">
        <f>(DSUM('1_Combustibles fòssils'!$E$17:$N$39,"emisiones",'6.2_Resultats Espanya'!E$71:E295)/1000)-SUM(F$72:F294)</f>
        <v>0</v>
      </c>
      <c r="G295" s="396">
        <f>(DSUM('2_Fluorats'!$E$11:$P$33,"emisiones",'6.2_Resultats Espanya'!E$71:E295)/1000)-SUM(G$72:G294)</f>
        <v>0</v>
      </c>
      <c r="H295" s="507">
        <f>(DSUM('3_Emissions processos'!$E$13:$L$35,"emisiones",'6.2_Resultats Espanya'!E$71:E295)/1000)-SUM(H$72:H294)</f>
        <v>0</v>
      </c>
      <c r="I295" s="507"/>
      <c r="J295" s="508">
        <f t="shared" si="8"/>
        <v>0</v>
      </c>
      <c r="K295" s="508"/>
      <c r="L295" s="508"/>
      <c r="M295" s="508"/>
      <c r="N295" s="507">
        <f>(DSUM('4.2_Electricitat Espanya'!$E$19:$J$41,"emisiones",'6.2_Resultats Espanya'!E$71:E295)/1000)-SUM(N$72:N294)</f>
        <v>0</v>
      </c>
      <c r="O295" s="507"/>
      <c r="P295" s="508">
        <f t="shared" si="9"/>
        <v>0</v>
      </c>
      <c r="Q295" s="508"/>
      <c r="R295" s="508"/>
      <c r="S295" s="400"/>
      <c r="T295" s="400"/>
      <c r="U295" s="400"/>
    </row>
    <row r="296" spans="5:21" x14ac:dyDescent="0.3">
      <c r="E296" s="197" t="str">
        <f>IF(Dades!C886="","",Dades!C886)</f>
        <v/>
      </c>
      <c r="F296" s="396">
        <f>(DSUM('1_Combustibles fòssils'!$E$17:$N$39,"emisiones",'6.2_Resultats Espanya'!E$71:E296)/1000)-SUM(F$72:F295)</f>
        <v>0</v>
      </c>
      <c r="G296" s="396">
        <f>(DSUM('2_Fluorats'!$E$11:$P$33,"emisiones",'6.2_Resultats Espanya'!E$71:E296)/1000)-SUM(G$72:G295)</f>
        <v>0</v>
      </c>
      <c r="H296" s="507">
        <f>(DSUM('3_Emissions processos'!$E$13:$L$35,"emisiones",'6.2_Resultats Espanya'!E$71:E296)/1000)-SUM(H$72:H295)</f>
        <v>0</v>
      </c>
      <c r="I296" s="507"/>
      <c r="J296" s="508">
        <f t="shared" si="8"/>
        <v>0</v>
      </c>
      <c r="K296" s="508"/>
      <c r="L296" s="508"/>
      <c r="M296" s="508"/>
      <c r="N296" s="507">
        <f>(DSUM('4.2_Electricitat Espanya'!$E$19:$J$41,"emisiones",'6.2_Resultats Espanya'!E$71:E296)/1000)-SUM(N$72:N295)</f>
        <v>0</v>
      </c>
      <c r="O296" s="507"/>
      <c r="P296" s="508">
        <f t="shared" si="9"/>
        <v>0</v>
      </c>
      <c r="Q296" s="508"/>
      <c r="R296" s="508"/>
      <c r="S296" s="400"/>
      <c r="T296" s="400"/>
      <c r="U296" s="400"/>
    </row>
    <row r="297" spans="5:21" x14ac:dyDescent="0.3">
      <c r="E297" s="197" t="str">
        <f>IF(Dades!C887="","",Dades!C887)</f>
        <v/>
      </c>
      <c r="F297" s="396">
        <f>(DSUM('1_Combustibles fòssils'!$E$17:$N$39,"emisiones",'6.2_Resultats Espanya'!E$71:E297)/1000)-SUM(F$72:F296)</f>
        <v>0</v>
      </c>
      <c r="G297" s="396">
        <f>(DSUM('2_Fluorats'!$E$11:$P$33,"emisiones",'6.2_Resultats Espanya'!E$71:E297)/1000)-SUM(G$72:G296)</f>
        <v>0</v>
      </c>
      <c r="H297" s="507">
        <f>(DSUM('3_Emissions processos'!$E$13:$L$35,"emisiones",'6.2_Resultats Espanya'!E$71:E297)/1000)-SUM(H$72:H296)</f>
        <v>0</v>
      </c>
      <c r="I297" s="507"/>
      <c r="J297" s="508">
        <f t="shared" si="8"/>
        <v>0</v>
      </c>
      <c r="K297" s="508"/>
      <c r="L297" s="508"/>
      <c r="M297" s="508"/>
      <c r="N297" s="507">
        <f>(DSUM('4.2_Electricitat Espanya'!$E$19:$J$41,"emisiones",'6.2_Resultats Espanya'!E$71:E297)/1000)-SUM(N$72:N296)</f>
        <v>0</v>
      </c>
      <c r="O297" s="507"/>
      <c r="P297" s="508">
        <f t="shared" si="9"/>
        <v>0</v>
      </c>
      <c r="Q297" s="508"/>
      <c r="R297" s="508"/>
      <c r="S297" s="400"/>
      <c r="T297" s="400"/>
      <c r="U297" s="400"/>
    </row>
    <row r="298" spans="5:21" x14ac:dyDescent="0.3">
      <c r="E298" s="197" t="str">
        <f>IF(Dades!C888="","",Dades!C888)</f>
        <v/>
      </c>
      <c r="F298" s="396">
        <f>(DSUM('1_Combustibles fòssils'!$E$17:$N$39,"emisiones",'6.2_Resultats Espanya'!E$71:E298)/1000)-SUM(F$72:F297)</f>
        <v>0</v>
      </c>
      <c r="G298" s="396">
        <f>(DSUM('2_Fluorats'!$E$11:$P$33,"emisiones",'6.2_Resultats Espanya'!E$71:E298)/1000)-SUM(G$72:G297)</f>
        <v>0</v>
      </c>
      <c r="H298" s="507">
        <f>(DSUM('3_Emissions processos'!$E$13:$L$35,"emisiones",'6.2_Resultats Espanya'!E$71:E298)/1000)-SUM(H$72:H297)</f>
        <v>0</v>
      </c>
      <c r="I298" s="507"/>
      <c r="J298" s="508">
        <f t="shared" si="8"/>
        <v>0</v>
      </c>
      <c r="K298" s="508"/>
      <c r="L298" s="508"/>
      <c r="M298" s="508"/>
      <c r="N298" s="507">
        <f>(DSUM('4.2_Electricitat Espanya'!$E$19:$J$41,"emisiones",'6.2_Resultats Espanya'!E$71:E298)/1000)-SUM(N$72:N297)</f>
        <v>0</v>
      </c>
      <c r="O298" s="507"/>
      <c r="P298" s="508">
        <f t="shared" si="9"/>
        <v>0</v>
      </c>
      <c r="Q298" s="508"/>
      <c r="R298" s="508"/>
      <c r="S298" s="400"/>
      <c r="T298" s="400"/>
      <c r="U298" s="400"/>
    </row>
    <row r="299" spans="5:21" x14ac:dyDescent="0.3">
      <c r="E299" s="197" t="str">
        <f>IF(Dades!C889="","",Dades!C889)</f>
        <v/>
      </c>
      <c r="F299" s="396">
        <f>(DSUM('1_Combustibles fòssils'!$E$17:$N$39,"emisiones",'6.2_Resultats Espanya'!E$71:E299)/1000)-SUM(F$72:F298)</f>
        <v>0</v>
      </c>
      <c r="G299" s="396">
        <f>(DSUM('2_Fluorats'!$E$11:$P$33,"emisiones",'6.2_Resultats Espanya'!E$71:E299)/1000)-SUM(G$72:G298)</f>
        <v>0</v>
      </c>
      <c r="H299" s="507">
        <f>(DSUM('3_Emissions processos'!$E$13:$L$35,"emisiones",'6.2_Resultats Espanya'!E$71:E299)/1000)-SUM(H$72:H298)</f>
        <v>0</v>
      </c>
      <c r="I299" s="507"/>
      <c r="J299" s="508">
        <f t="shared" si="8"/>
        <v>0</v>
      </c>
      <c r="K299" s="508"/>
      <c r="L299" s="508"/>
      <c r="M299" s="508"/>
      <c r="N299" s="507">
        <f>(DSUM('4.2_Electricitat Espanya'!$E$19:$J$41,"emisiones",'6.2_Resultats Espanya'!E$71:E299)/1000)-SUM(N$72:N298)</f>
        <v>0</v>
      </c>
      <c r="O299" s="507"/>
      <c r="P299" s="508">
        <f t="shared" si="9"/>
        <v>0</v>
      </c>
      <c r="Q299" s="508"/>
      <c r="R299" s="508"/>
      <c r="S299" s="400"/>
      <c r="T299" s="400"/>
      <c r="U299" s="400"/>
    </row>
    <row r="300" spans="5:21" x14ac:dyDescent="0.3">
      <c r="E300" s="197" t="str">
        <f>IF(Dades!C890="","",Dades!C890)</f>
        <v/>
      </c>
      <c r="F300" s="396">
        <f>(DSUM('1_Combustibles fòssils'!$E$17:$N$39,"emisiones",'6.2_Resultats Espanya'!E$71:E300)/1000)-SUM(F$72:F299)</f>
        <v>0</v>
      </c>
      <c r="G300" s="396">
        <f>(DSUM('2_Fluorats'!$E$11:$P$33,"emisiones",'6.2_Resultats Espanya'!E$71:E300)/1000)-SUM(G$72:G299)</f>
        <v>0</v>
      </c>
      <c r="H300" s="507">
        <f>(DSUM('3_Emissions processos'!$E$13:$L$35,"emisiones",'6.2_Resultats Espanya'!E$71:E300)/1000)-SUM(H$72:H299)</f>
        <v>0</v>
      </c>
      <c r="I300" s="507"/>
      <c r="J300" s="508">
        <f t="shared" si="8"/>
        <v>0</v>
      </c>
      <c r="K300" s="508"/>
      <c r="L300" s="508"/>
      <c r="M300" s="508"/>
      <c r="N300" s="507">
        <f>(DSUM('4.2_Electricitat Espanya'!$E$19:$J$41,"emisiones",'6.2_Resultats Espanya'!E$71:E300)/1000)-SUM(N$72:N299)</f>
        <v>0</v>
      </c>
      <c r="O300" s="507"/>
      <c r="P300" s="508">
        <f t="shared" si="9"/>
        <v>0</v>
      </c>
      <c r="Q300" s="508"/>
      <c r="R300" s="508"/>
      <c r="S300" s="400"/>
      <c r="T300" s="400"/>
      <c r="U300" s="400"/>
    </row>
    <row r="301" spans="5:21" x14ac:dyDescent="0.3">
      <c r="E301" s="197" t="str">
        <f>IF(Dades!C891="","",Dades!C891)</f>
        <v/>
      </c>
      <c r="F301" s="396">
        <f>(DSUM('1_Combustibles fòssils'!$E$17:$N$39,"emisiones",'6.2_Resultats Espanya'!E$71:E301)/1000)-SUM(F$72:F300)</f>
        <v>0</v>
      </c>
      <c r="G301" s="396">
        <f>(DSUM('2_Fluorats'!$E$11:$P$33,"emisiones",'6.2_Resultats Espanya'!E$71:E301)/1000)-SUM(G$72:G300)</f>
        <v>0</v>
      </c>
      <c r="H301" s="507">
        <f>(DSUM('3_Emissions processos'!$E$13:$L$35,"emisiones",'6.2_Resultats Espanya'!E$71:E301)/1000)-SUM(H$72:H300)</f>
        <v>0</v>
      </c>
      <c r="I301" s="507"/>
      <c r="J301" s="508">
        <f t="shared" si="8"/>
        <v>0</v>
      </c>
      <c r="K301" s="508"/>
      <c r="L301" s="508"/>
      <c r="M301" s="508"/>
      <c r="N301" s="507">
        <f>(DSUM('4.2_Electricitat Espanya'!$E$19:$J$41,"emisiones",'6.2_Resultats Espanya'!E$71:E301)/1000)-SUM(N$72:N300)</f>
        <v>0</v>
      </c>
      <c r="O301" s="507"/>
      <c r="P301" s="508">
        <f t="shared" si="9"/>
        <v>0</v>
      </c>
      <c r="Q301" s="508"/>
      <c r="R301" s="508"/>
      <c r="S301" s="400"/>
      <c r="T301" s="400"/>
      <c r="U301" s="400"/>
    </row>
    <row r="302" spans="5:21" x14ac:dyDescent="0.3">
      <c r="E302" s="197" t="str">
        <f>IF(Dades!C892="","",Dades!C892)</f>
        <v/>
      </c>
      <c r="F302" s="396">
        <f>(DSUM('1_Combustibles fòssils'!$E$17:$N$39,"emisiones",'6.2_Resultats Espanya'!E$71:E302)/1000)-SUM(F$72:F301)</f>
        <v>0</v>
      </c>
      <c r="G302" s="396">
        <f>(DSUM('2_Fluorats'!$E$11:$P$33,"emisiones",'6.2_Resultats Espanya'!E$71:E302)/1000)-SUM(G$72:G301)</f>
        <v>0</v>
      </c>
      <c r="H302" s="507">
        <f>(DSUM('3_Emissions processos'!$E$13:$L$35,"emisiones",'6.2_Resultats Espanya'!E$71:E302)/1000)-SUM(H$72:H301)</f>
        <v>0</v>
      </c>
      <c r="I302" s="507"/>
      <c r="J302" s="508">
        <f t="shared" si="8"/>
        <v>0</v>
      </c>
      <c r="K302" s="508"/>
      <c r="L302" s="508"/>
      <c r="M302" s="508"/>
      <c r="N302" s="507">
        <f>(DSUM('4.2_Electricitat Espanya'!$E$19:$J$41,"emisiones",'6.2_Resultats Espanya'!E$71:E302)/1000)-SUM(N$72:N301)</f>
        <v>0</v>
      </c>
      <c r="O302" s="507"/>
      <c r="P302" s="508">
        <f t="shared" si="9"/>
        <v>0</v>
      </c>
      <c r="Q302" s="508"/>
      <c r="R302" s="508"/>
      <c r="S302" s="400"/>
      <c r="T302" s="400"/>
      <c r="U302" s="400"/>
    </row>
    <row r="303" spans="5:21" x14ac:dyDescent="0.3">
      <c r="E303" s="197" t="str">
        <f>IF(Dades!C893="","",Dades!C893)</f>
        <v/>
      </c>
      <c r="F303" s="396">
        <f>(DSUM('1_Combustibles fòssils'!$E$17:$N$39,"emisiones",'6.2_Resultats Espanya'!E$71:E303)/1000)-SUM(F$72:F302)</f>
        <v>0</v>
      </c>
      <c r="G303" s="396">
        <f>(DSUM('2_Fluorats'!$E$11:$P$33,"emisiones",'6.2_Resultats Espanya'!E$71:E303)/1000)-SUM(G$72:G302)</f>
        <v>0</v>
      </c>
      <c r="H303" s="507">
        <f>(DSUM('3_Emissions processos'!$E$13:$L$35,"emisiones",'6.2_Resultats Espanya'!E$71:E303)/1000)-SUM(H$72:H302)</f>
        <v>0</v>
      </c>
      <c r="I303" s="507"/>
      <c r="J303" s="508">
        <f t="shared" si="8"/>
        <v>0</v>
      </c>
      <c r="K303" s="508"/>
      <c r="L303" s="508"/>
      <c r="M303" s="508"/>
      <c r="N303" s="507">
        <f>(DSUM('4.2_Electricitat Espanya'!$E$19:$J$41,"emisiones",'6.2_Resultats Espanya'!E$71:E303)/1000)-SUM(N$72:N302)</f>
        <v>0</v>
      </c>
      <c r="O303" s="507"/>
      <c r="P303" s="508">
        <f t="shared" si="9"/>
        <v>0</v>
      </c>
      <c r="Q303" s="508"/>
      <c r="R303" s="508"/>
      <c r="S303" s="400"/>
      <c r="T303" s="400"/>
      <c r="U303" s="400"/>
    </row>
    <row r="304" spans="5:21" x14ac:dyDescent="0.3">
      <c r="E304" s="197" t="str">
        <f>IF(Dades!C894="","",Dades!C894)</f>
        <v/>
      </c>
      <c r="F304" s="396">
        <f>(DSUM('1_Combustibles fòssils'!$E$17:$N$39,"emisiones",'6.2_Resultats Espanya'!E$71:E304)/1000)-SUM(F$72:F303)</f>
        <v>0</v>
      </c>
      <c r="G304" s="396">
        <f>(DSUM('2_Fluorats'!$E$11:$P$33,"emisiones",'6.2_Resultats Espanya'!E$71:E304)/1000)-SUM(G$72:G303)</f>
        <v>0</v>
      </c>
      <c r="H304" s="507">
        <f>(DSUM('3_Emissions processos'!$E$13:$L$35,"emisiones",'6.2_Resultats Espanya'!E$71:E304)/1000)-SUM(H$72:H303)</f>
        <v>0</v>
      </c>
      <c r="I304" s="507"/>
      <c r="J304" s="508">
        <f t="shared" si="8"/>
        <v>0</v>
      </c>
      <c r="K304" s="508"/>
      <c r="L304" s="508"/>
      <c r="M304" s="508"/>
      <c r="N304" s="507">
        <f>(DSUM('4.2_Electricitat Espanya'!$E$19:$J$41,"emisiones",'6.2_Resultats Espanya'!E$71:E304)/1000)-SUM(N$72:N303)</f>
        <v>0</v>
      </c>
      <c r="O304" s="507"/>
      <c r="P304" s="508">
        <f t="shared" si="9"/>
        <v>0</v>
      </c>
      <c r="Q304" s="508"/>
      <c r="R304" s="508"/>
      <c r="S304" s="400"/>
      <c r="T304" s="400"/>
      <c r="U304" s="400"/>
    </row>
    <row r="305" spans="5:21" x14ac:dyDescent="0.3">
      <c r="E305" s="197" t="str">
        <f>IF(Dades!C895="","",Dades!C895)</f>
        <v/>
      </c>
      <c r="F305" s="396">
        <f>(DSUM('1_Combustibles fòssils'!$E$17:$N$39,"emisiones",'6.2_Resultats Espanya'!E$71:E305)/1000)-SUM(F$72:F304)</f>
        <v>0</v>
      </c>
      <c r="G305" s="396">
        <f>(DSUM('2_Fluorats'!$E$11:$P$33,"emisiones",'6.2_Resultats Espanya'!E$71:E305)/1000)-SUM(G$72:G304)</f>
        <v>0</v>
      </c>
      <c r="H305" s="507">
        <f>(DSUM('3_Emissions processos'!$E$13:$L$35,"emisiones",'6.2_Resultats Espanya'!E$71:E305)/1000)-SUM(H$72:H304)</f>
        <v>0</v>
      </c>
      <c r="I305" s="507"/>
      <c r="J305" s="508">
        <f t="shared" si="8"/>
        <v>0</v>
      </c>
      <c r="K305" s="508"/>
      <c r="L305" s="508"/>
      <c r="M305" s="508"/>
      <c r="N305" s="507">
        <f>(DSUM('4.2_Electricitat Espanya'!$E$19:$J$41,"emisiones",'6.2_Resultats Espanya'!E$71:E305)/1000)-SUM(N$72:N304)</f>
        <v>0</v>
      </c>
      <c r="O305" s="507"/>
      <c r="P305" s="508">
        <f t="shared" si="9"/>
        <v>0</v>
      </c>
      <c r="Q305" s="508"/>
      <c r="R305" s="508"/>
      <c r="S305" s="400"/>
      <c r="T305" s="400"/>
      <c r="U305" s="400"/>
    </row>
    <row r="306" spans="5:21" x14ac:dyDescent="0.3">
      <c r="E306" s="197" t="str">
        <f>IF(Dades!C896="","",Dades!C896)</f>
        <v/>
      </c>
      <c r="F306" s="396">
        <f>(DSUM('1_Combustibles fòssils'!$E$17:$N$39,"emisiones",'6.2_Resultats Espanya'!E$71:E306)/1000)-SUM(F$72:F305)</f>
        <v>0</v>
      </c>
      <c r="G306" s="396">
        <f>(DSUM('2_Fluorats'!$E$11:$P$33,"emisiones",'6.2_Resultats Espanya'!E$71:E306)/1000)-SUM(G$72:G305)</f>
        <v>0</v>
      </c>
      <c r="H306" s="507">
        <f>(DSUM('3_Emissions processos'!$E$13:$L$35,"emisiones",'6.2_Resultats Espanya'!E$71:E306)/1000)-SUM(H$72:H305)</f>
        <v>0</v>
      </c>
      <c r="I306" s="507"/>
      <c r="J306" s="508">
        <f t="shared" si="8"/>
        <v>0</v>
      </c>
      <c r="K306" s="508"/>
      <c r="L306" s="508"/>
      <c r="M306" s="508"/>
      <c r="N306" s="507">
        <f>(DSUM('4.2_Electricitat Espanya'!$E$19:$J$41,"emisiones",'6.2_Resultats Espanya'!E$71:E306)/1000)-SUM(N$72:N305)</f>
        <v>0</v>
      </c>
      <c r="O306" s="507"/>
      <c r="P306" s="508">
        <f t="shared" si="9"/>
        <v>0</v>
      </c>
      <c r="Q306" s="508"/>
      <c r="R306" s="508"/>
      <c r="S306" s="400"/>
      <c r="T306" s="400"/>
      <c r="U306" s="400"/>
    </row>
    <row r="307" spans="5:21" x14ac:dyDescent="0.3">
      <c r="E307" s="197" t="str">
        <f>IF(Dades!C897="","",Dades!C897)</f>
        <v/>
      </c>
      <c r="F307" s="396">
        <f>(DSUM('1_Combustibles fòssils'!$E$17:$N$39,"emisiones",'6.2_Resultats Espanya'!E$71:E307)/1000)-SUM(F$72:F306)</f>
        <v>0</v>
      </c>
      <c r="G307" s="396">
        <f>(DSUM('2_Fluorats'!$E$11:$P$33,"emisiones",'6.2_Resultats Espanya'!E$71:E307)/1000)-SUM(G$72:G306)</f>
        <v>0</v>
      </c>
      <c r="H307" s="507">
        <f>(DSUM('3_Emissions processos'!$E$13:$L$35,"emisiones",'6.2_Resultats Espanya'!E$71:E307)/1000)-SUM(H$72:H306)</f>
        <v>0</v>
      </c>
      <c r="I307" s="507"/>
      <c r="J307" s="508">
        <f t="shared" si="8"/>
        <v>0</v>
      </c>
      <c r="K307" s="508"/>
      <c r="L307" s="508"/>
      <c r="M307" s="508"/>
      <c r="N307" s="507">
        <f>(DSUM('4.2_Electricitat Espanya'!$E$19:$J$41,"emisiones",'6.2_Resultats Espanya'!E$71:E307)/1000)-SUM(N$72:N306)</f>
        <v>0</v>
      </c>
      <c r="O307" s="507"/>
      <c r="P307" s="508">
        <f t="shared" si="9"/>
        <v>0</v>
      </c>
      <c r="Q307" s="508"/>
      <c r="R307" s="508"/>
      <c r="S307" s="400"/>
      <c r="T307" s="400"/>
      <c r="U307" s="400"/>
    </row>
    <row r="308" spans="5:21" x14ac:dyDescent="0.3">
      <c r="E308" s="197" t="str">
        <f>IF(Dades!C898="","",Dades!C898)</f>
        <v/>
      </c>
      <c r="F308" s="396">
        <f>(DSUM('1_Combustibles fòssils'!$E$17:$N$39,"emisiones",'6.2_Resultats Espanya'!E$71:E308)/1000)-SUM(F$72:F307)</f>
        <v>0</v>
      </c>
      <c r="G308" s="396">
        <f>(DSUM('2_Fluorats'!$E$11:$P$33,"emisiones",'6.2_Resultats Espanya'!E$71:E308)/1000)-SUM(G$72:G307)</f>
        <v>0</v>
      </c>
      <c r="H308" s="507">
        <f>(DSUM('3_Emissions processos'!$E$13:$L$35,"emisiones",'6.2_Resultats Espanya'!E$71:E308)/1000)-SUM(H$72:H307)</f>
        <v>0</v>
      </c>
      <c r="I308" s="507"/>
      <c r="J308" s="508">
        <f t="shared" si="8"/>
        <v>0</v>
      </c>
      <c r="K308" s="508"/>
      <c r="L308" s="508"/>
      <c r="M308" s="508"/>
      <c r="N308" s="507">
        <f>(DSUM('4.2_Electricitat Espanya'!$E$19:$J$41,"emisiones",'6.2_Resultats Espanya'!E$71:E308)/1000)-SUM(N$72:N307)</f>
        <v>0</v>
      </c>
      <c r="O308" s="507"/>
      <c r="P308" s="508">
        <f t="shared" si="9"/>
        <v>0</v>
      </c>
      <c r="Q308" s="508"/>
      <c r="R308" s="508"/>
      <c r="S308" s="400"/>
      <c r="T308" s="400"/>
      <c r="U308" s="400"/>
    </row>
    <row r="309" spans="5:21" x14ac:dyDescent="0.3">
      <c r="E309" s="197" t="str">
        <f>IF(Dades!C899="","",Dades!C899)</f>
        <v/>
      </c>
      <c r="F309" s="396">
        <f>(DSUM('1_Combustibles fòssils'!$E$17:$N$39,"emisiones",'6.2_Resultats Espanya'!E$71:E309)/1000)-SUM(F$72:F308)</f>
        <v>0</v>
      </c>
      <c r="G309" s="396">
        <f>(DSUM('2_Fluorats'!$E$11:$P$33,"emisiones",'6.2_Resultats Espanya'!E$71:E309)/1000)-SUM(G$72:G308)</f>
        <v>0</v>
      </c>
      <c r="H309" s="507">
        <f>(DSUM('3_Emissions processos'!$E$13:$L$35,"emisiones",'6.2_Resultats Espanya'!E$71:E309)/1000)-SUM(H$72:H308)</f>
        <v>0</v>
      </c>
      <c r="I309" s="507"/>
      <c r="J309" s="508">
        <f t="shared" si="8"/>
        <v>0</v>
      </c>
      <c r="K309" s="508"/>
      <c r="L309" s="508"/>
      <c r="M309" s="508"/>
      <c r="N309" s="507">
        <f>(DSUM('4.2_Electricitat Espanya'!$E$19:$J$41,"emisiones",'6.2_Resultats Espanya'!E$71:E309)/1000)-SUM(N$72:N308)</f>
        <v>0</v>
      </c>
      <c r="O309" s="507"/>
      <c r="P309" s="508">
        <f t="shared" si="9"/>
        <v>0</v>
      </c>
      <c r="Q309" s="508"/>
      <c r="R309" s="508"/>
      <c r="S309" s="400"/>
      <c r="T309" s="400"/>
      <c r="U309" s="400"/>
    </row>
    <row r="310" spans="5:21" x14ac:dyDescent="0.3">
      <c r="E310" s="197" t="str">
        <f>IF(Dades!C900="","",Dades!C900)</f>
        <v/>
      </c>
      <c r="F310" s="396">
        <f>(DSUM('1_Combustibles fòssils'!$E$17:$N$39,"emisiones",'6.2_Resultats Espanya'!E$71:E310)/1000)-SUM(F$72:F309)</f>
        <v>0</v>
      </c>
      <c r="G310" s="396">
        <f>(DSUM('2_Fluorats'!$E$11:$P$33,"emisiones",'6.2_Resultats Espanya'!E$71:E310)/1000)-SUM(G$72:G309)</f>
        <v>0</v>
      </c>
      <c r="H310" s="507">
        <f>(DSUM('3_Emissions processos'!$E$13:$L$35,"emisiones",'6.2_Resultats Espanya'!E$71:E310)/1000)-SUM(H$72:H309)</f>
        <v>0</v>
      </c>
      <c r="I310" s="507"/>
      <c r="J310" s="508">
        <f t="shared" si="8"/>
        <v>0</v>
      </c>
      <c r="K310" s="508"/>
      <c r="L310" s="508"/>
      <c r="M310" s="508"/>
      <c r="N310" s="507">
        <f>(DSUM('4.2_Electricitat Espanya'!$E$19:$J$41,"emisiones",'6.2_Resultats Espanya'!E$71:E310)/1000)-SUM(N$72:N309)</f>
        <v>0</v>
      </c>
      <c r="O310" s="507"/>
      <c r="P310" s="508">
        <f t="shared" si="9"/>
        <v>0</v>
      </c>
      <c r="Q310" s="508"/>
      <c r="R310" s="508"/>
      <c r="S310" s="400"/>
      <c r="T310" s="400"/>
      <c r="U310" s="400"/>
    </row>
    <row r="311" spans="5:21" x14ac:dyDescent="0.3">
      <c r="E311" s="197" t="str">
        <f>IF(Dades!C901="","",Dades!C901)</f>
        <v/>
      </c>
      <c r="F311" s="396">
        <f>(DSUM('1_Combustibles fòssils'!$E$17:$N$39,"emisiones",'6.2_Resultats Espanya'!E$71:E311)/1000)-SUM(F$72:F310)</f>
        <v>0</v>
      </c>
      <c r="G311" s="396">
        <f>(DSUM('2_Fluorats'!$E$11:$P$33,"emisiones",'6.2_Resultats Espanya'!E$71:E311)/1000)-SUM(G$72:G310)</f>
        <v>0</v>
      </c>
      <c r="H311" s="507">
        <f>(DSUM('3_Emissions processos'!$E$13:$L$35,"emisiones",'6.2_Resultats Espanya'!E$71:E311)/1000)-SUM(H$72:H310)</f>
        <v>0</v>
      </c>
      <c r="I311" s="507"/>
      <c r="J311" s="508">
        <f t="shared" si="8"/>
        <v>0</v>
      </c>
      <c r="K311" s="508"/>
      <c r="L311" s="508"/>
      <c r="M311" s="508"/>
      <c r="N311" s="507">
        <f>(DSUM('4.2_Electricitat Espanya'!$E$19:$J$41,"emisiones",'6.2_Resultats Espanya'!E$71:E311)/1000)-SUM(N$72:N310)</f>
        <v>0</v>
      </c>
      <c r="O311" s="507"/>
      <c r="P311" s="508">
        <f t="shared" si="9"/>
        <v>0</v>
      </c>
      <c r="Q311" s="508"/>
      <c r="R311" s="508"/>
      <c r="S311" s="400"/>
      <c r="T311" s="400"/>
      <c r="U311" s="400"/>
    </row>
    <row r="312" spans="5:21" x14ac:dyDescent="0.3">
      <c r="E312" s="197" t="str">
        <f>IF(Dades!C902="","",Dades!C902)</f>
        <v/>
      </c>
      <c r="F312" s="396">
        <f>(DSUM('1_Combustibles fòssils'!$E$17:$N$39,"emisiones",'6.2_Resultats Espanya'!E$71:E312)/1000)-SUM(F$72:F311)</f>
        <v>0</v>
      </c>
      <c r="G312" s="396">
        <f>(DSUM('2_Fluorats'!$E$11:$P$33,"emisiones",'6.2_Resultats Espanya'!E$71:E312)/1000)-SUM(G$72:G311)</f>
        <v>0</v>
      </c>
      <c r="H312" s="507">
        <f>(DSUM('3_Emissions processos'!$E$13:$L$35,"emisiones",'6.2_Resultats Espanya'!E$71:E312)/1000)-SUM(H$72:H311)</f>
        <v>0</v>
      </c>
      <c r="I312" s="507"/>
      <c r="J312" s="508">
        <f t="shared" si="8"/>
        <v>0</v>
      </c>
      <c r="K312" s="508"/>
      <c r="L312" s="508"/>
      <c r="M312" s="508"/>
      <c r="N312" s="507">
        <f>(DSUM('4.2_Electricitat Espanya'!$E$19:$J$41,"emisiones",'6.2_Resultats Espanya'!E$71:E312)/1000)-SUM(N$72:N311)</f>
        <v>0</v>
      </c>
      <c r="O312" s="507"/>
      <c r="P312" s="508">
        <f t="shared" si="9"/>
        <v>0</v>
      </c>
      <c r="Q312" s="508"/>
      <c r="R312" s="508"/>
      <c r="S312" s="400"/>
      <c r="T312" s="400"/>
      <c r="U312" s="400"/>
    </row>
    <row r="313" spans="5:21" x14ac:dyDescent="0.3">
      <c r="E313" s="197" t="str">
        <f>IF(Dades!C903="","",Dades!C903)</f>
        <v/>
      </c>
      <c r="F313" s="396">
        <f>(DSUM('1_Combustibles fòssils'!$E$17:$N$39,"emisiones",'6.2_Resultats Espanya'!E$71:E313)/1000)-SUM(F$72:F312)</f>
        <v>0</v>
      </c>
      <c r="G313" s="396">
        <f>(DSUM('2_Fluorats'!$E$11:$P$33,"emisiones",'6.2_Resultats Espanya'!E$71:E313)/1000)-SUM(G$72:G312)</f>
        <v>0</v>
      </c>
      <c r="H313" s="507">
        <f>(DSUM('3_Emissions processos'!$E$13:$L$35,"emisiones",'6.2_Resultats Espanya'!E$71:E313)/1000)-SUM(H$72:H312)</f>
        <v>0</v>
      </c>
      <c r="I313" s="507"/>
      <c r="J313" s="508">
        <f t="shared" si="8"/>
        <v>0</v>
      </c>
      <c r="K313" s="508"/>
      <c r="L313" s="508"/>
      <c r="M313" s="508"/>
      <c r="N313" s="507">
        <f>(DSUM('4.2_Electricitat Espanya'!$E$19:$J$41,"emisiones",'6.2_Resultats Espanya'!E$71:E313)/1000)-SUM(N$72:N312)</f>
        <v>0</v>
      </c>
      <c r="O313" s="507"/>
      <c r="P313" s="508">
        <f t="shared" si="9"/>
        <v>0</v>
      </c>
      <c r="Q313" s="508"/>
      <c r="R313" s="508"/>
      <c r="S313" s="400"/>
      <c r="T313" s="400"/>
      <c r="U313" s="400"/>
    </row>
    <row r="314" spans="5:21" x14ac:dyDescent="0.3">
      <c r="E314" s="197" t="str">
        <f>IF(Dades!C904="","",Dades!C904)</f>
        <v/>
      </c>
      <c r="F314" s="396">
        <f>(DSUM('1_Combustibles fòssils'!$E$17:$N$39,"emisiones",'6.2_Resultats Espanya'!E$71:E314)/1000)-SUM(F$72:F313)</f>
        <v>0</v>
      </c>
      <c r="G314" s="396">
        <f>(DSUM('2_Fluorats'!$E$11:$P$33,"emisiones",'6.2_Resultats Espanya'!E$71:E314)/1000)-SUM(G$72:G313)</f>
        <v>0</v>
      </c>
      <c r="H314" s="507">
        <f>(DSUM('3_Emissions processos'!$E$13:$L$35,"emisiones",'6.2_Resultats Espanya'!E$71:E314)/1000)-SUM(H$72:H313)</f>
        <v>0</v>
      </c>
      <c r="I314" s="507"/>
      <c r="J314" s="508">
        <f t="shared" si="8"/>
        <v>0</v>
      </c>
      <c r="K314" s="508"/>
      <c r="L314" s="508"/>
      <c r="M314" s="508"/>
      <c r="N314" s="507">
        <f>(DSUM('4.2_Electricitat Espanya'!$E$19:$J$41,"emisiones",'6.2_Resultats Espanya'!E$71:E314)/1000)-SUM(N$72:N313)</f>
        <v>0</v>
      </c>
      <c r="O314" s="507"/>
      <c r="P314" s="508">
        <f t="shared" si="9"/>
        <v>0</v>
      </c>
      <c r="Q314" s="508"/>
      <c r="R314" s="508"/>
      <c r="S314" s="400"/>
      <c r="T314" s="400"/>
      <c r="U314" s="400"/>
    </row>
    <row r="315" spans="5:21" x14ac:dyDescent="0.3">
      <c r="E315" s="197" t="str">
        <f>IF(Dades!C905="","",Dades!C905)</f>
        <v/>
      </c>
      <c r="F315" s="396">
        <f>(DSUM('1_Combustibles fòssils'!$E$17:$N$39,"emisiones",'6.2_Resultats Espanya'!E$71:E315)/1000)-SUM(F$72:F314)</f>
        <v>0</v>
      </c>
      <c r="G315" s="396">
        <f>(DSUM('2_Fluorats'!$E$11:$P$33,"emisiones",'6.2_Resultats Espanya'!E$71:E315)/1000)-SUM(G$72:G314)</f>
        <v>0</v>
      </c>
      <c r="H315" s="507">
        <f>(DSUM('3_Emissions processos'!$E$13:$L$35,"emisiones",'6.2_Resultats Espanya'!E$71:E315)/1000)-SUM(H$72:H314)</f>
        <v>0</v>
      </c>
      <c r="I315" s="507"/>
      <c r="J315" s="508">
        <f t="shared" si="8"/>
        <v>0</v>
      </c>
      <c r="K315" s="508"/>
      <c r="L315" s="508"/>
      <c r="M315" s="508"/>
      <c r="N315" s="507">
        <f>(DSUM('4.2_Electricitat Espanya'!$E$19:$J$41,"emisiones",'6.2_Resultats Espanya'!E$71:E315)/1000)-SUM(N$72:N314)</f>
        <v>0</v>
      </c>
      <c r="O315" s="507"/>
      <c r="P315" s="508">
        <f t="shared" si="9"/>
        <v>0</v>
      </c>
      <c r="Q315" s="508"/>
      <c r="R315" s="508"/>
      <c r="S315" s="400"/>
      <c r="T315" s="400"/>
      <c r="U315" s="400"/>
    </row>
    <row r="316" spans="5:21" x14ac:dyDescent="0.3">
      <c r="E316" s="197" t="str">
        <f>IF(Dades!C906="","",Dades!C906)</f>
        <v/>
      </c>
      <c r="F316" s="396">
        <f>(DSUM('1_Combustibles fòssils'!$E$17:$N$39,"emisiones",'6.2_Resultats Espanya'!E$71:E316)/1000)-SUM(F$72:F315)</f>
        <v>0</v>
      </c>
      <c r="G316" s="396">
        <f>(DSUM('2_Fluorats'!$E$11:$P$33,"emisiones",'6.2_Resultats Espanya'!E$71:E316)/1000)-SUM(G$72:G315)</f>
        <v>0</v>
      </c>
      <c r="H316" s="507">
        <f>(DSUM('3_Emissions processos'!$E$13:$L$35,"emisiones",'6.2_Resultats Espanya'!E$71:E316)/1000)-SUM(H$72:H315)</f>
        <v>0</v>
      </c>
      <c r="I316" s="507"/>
      <c r="J316" s="508">
        <f t="shared" si="8"/>
        <v>0</v>
      </c>
      <c r="K316" s="508"/>
      <c r="L316" s="508"/>
      <c r="M316" s="508"/>
      <c r="N316" s="507">
        <f>(DSUM('4.2_Electricitat Espanya'!$E$19:$J$41,"emisiones",'6.2_Resultats Espanya'!E$71:E316)/1000)-SUM(N$72:N315)</f>
        <v>0</v>
      </c>
      <c r="O316" s="507"/>
      <c r="P316" s="508">
        <f t="shared" si="9"/>
        <v>0</v>
      </c>
      <c r="Q316" s="508"/>
      <c r="R316" s="508"/>
      <c r="S316" s="400"/>
      <c r="T316" s="400"/>
      <c r="U316" s="400"/>
    </row>
    <row r="317" spans="5:21" x14ac:dyDescent="0.3">
      <c r="E317" s="197" t="str">
        <f>IF(Dades!C907="","",Dades!C907)</f>
        <v/>
      </c>
      <c r="F317" s="396">
        <f>(DSUM('1_Combustibles fòssils'!$E$17:$N$39,"emisiones",'6.2_Resultats Espanya'!E$71:E317)/1000)-SUM(F$72:F316)</f>
        <v>0</v>
      </c>
      <c r="G317" s="396">
        <f>(DSUM('2_Fluorats'!$E$11:$P$33,"emisiones",'6.2_Resultats Espanya'!E$71:E317)/1000)-SUM(G$72:G316)</f>
        <v>0</v>
      </c>
      <c r="H317" s="507">
        <f>(DSUM('3_Emissions processos'!$E$13:$L$35,"emisiones",'6.2_Resultats Espanya'!E$71:E317)/1000)-SUM(H$72:H316)</f>
        <v>0</v>
      </c>
      <c r="I317" s="507"/>
      <c r="J317" s="508">
        <f t="shared" si="8"/>
        <v>0</v>
      </c>
      <c r="K317" s="508"/>
      <c r="L317" s="508"/>
      <c r="M317" s="508"/>
      <c r="N317" s="507">
        <f>(DSUM('4.2_Electricitat Espanya'!$E$19:$J$41,"emisiones",'6.2_Resultats Espanya'!E$71:E317)/1000)-SUM(N$72:N316)</f>
        <v>0</v>
      </c>
      <c r="O317" s="507"/>
      <c r="P317" s="508">
        <f t="shared" si="9"/>
        <v>0</v>
      </c>
      <c r="Q317" s="508"/>
      <c r="R317" s="508"/>
      <c r="S317" s="400"/>
      <c r="T317" s="400"/>
      <c r="U317" s="400"/>
    </row>
    <row r="318" spans="5:21" x14ac:dyDescent="0.3">
      <c r="E318" s="197" t="str">
        <f>IF(Dades!C908="","",Dades!C908)</f>
        <v/>
      </c>
      <c r="F318" s="396">
        <f>(DSUM('1_Combustibles fòssils'!$E$17:$N$39,"emisiones",'6.2_Resultats Espanya'!E$71:E318)/1000)-SUM(F$72:F317)</f>
        <v>0</v>
      </c>
      <c r="G318" s="396">
        <f>(DSUM('2_Fluorats'!$E$11:$P$33,"emisiones",'6.2_Resultats Espanya'!E$71:E318)/1000)-SUM(G$72:G317)</f>
        <v>0</v>
      </c>
      <c r="H318" s="507">
        <f>(DSUM('3_Emissions processos'!$E$13:$L$35,"emisiones",'6.2_Resultats Espanya'!E$71:E318)/1000)-SUM(H$72:H317)</f>
        <v>0</v>
      </c>
      <c r="I318" s="507"/>
      <c r="J318" s="508">
        <f t="shared" si="8"/>
        <v>0</v>
      </c>
      <c r="K318" s="508"/>
      <c r="L318" s="508"/>
      <c r="M318" s="508"/>
      <c r="N318" s="507">
        <f>(DSUM('4.2_Electricitat Espanya'!$E$19:$J$41,"emisiones",'6.2_Resultats Espanya'!E$71:E318)/1000)-SUM(N$72:N317)</f>
        <v>0</v>
      </c>
      <c r="O318" s="507"/>
      <c r="P318" s="508">
        <f t="shared" si="9"/>
        <v>0</v>
      </c>
      <c r="Q318" s="508"/>
      <c r="R318" s="508"/>
      <c r="S318" s="400"/>
      <c r="T318" s="400"/>
      <c r="U318" s="400"/>
    </row>
    <row r="319" spans="5:21" x14ac:dyDescent="0.3">
      <c r="E319" s="197" t="str">
        <f>IF(Dades!C909="","",Dades!C909)</f>
        <v/>
      </c>
      <c r="F319" s="396">
        <f>(DSUM('1_Combustibles fòssils'!$E$17:$N$39,"emisiones",'6.2_Resultats Espanya'!E$71:E319)/1000)-SUM(F$72:F318)</f>
        <v>0</v>
      </c>
      <c r="G319" s="396">
        <f>(DSUM('2_Fluorats'!$E$11:$P$33,"emisiones",'6.2_Resultats Espanya'!E$71:E319)/1000)-SUM(G$72:G318)</f>
        <v>0</v>
      </c>
      <c r="H319" s="507">
        <f>(DSUM('3_Emissions processos'!$E$13:$L$35,"emisiones",'6.2_Resultats Espanya'!E$71:E319)/1000)-SUM(H$72:H318)</f>
        <v>0</v>
      </c>
      <c r="I319" s="507"/>
      <c r="J319" s="508">
        <f t="shared" si="8"/>
        <v>0</v>
      </c>
      <c r="K319" s="508"/>
      <c r="L319" s="508"/>
      <c r="M319" s="508"/>
      <c r="N319" s="507">
        <f>(DSUM('4.2_Electricitat Espanya'!$E$19:$J$41,"emisiones",'6.2_Resultats Espanya'!E$71:E319)/1000)-SUM(N$72:N318)</f>
        <v>0</v>
      </c>
      <c r="O319" s="507"/>
      <c r="P319" s="508">
        <f t="shared" si="9"/>
        <v>0</v>
      </c>
      <c r="Q319" s="508"/>
      <c r="R319" s="508"/>
      <c r="S319" s="400"/>
      <c r="T319" s="400"/>
      <c r="U319" s="400"/>
    </row>
    <row r="320" spans="5:21" x14ac:dyDescent="0.3">
      <c r="E320" s="197" t="str">
        <f>IF(Dades!C910="","",Dades!C910)</f>
        <v/>
      </c>
      <c r="F320" s="396">
        <f>(DSUM('1_Combustibles fòssils'!$E$17:$N$39,"emisiones",'6.2_Resultats Espanya'!E$71:E320)/1000)-SUM(F$72:F319)</f>
        <v>0</v>
      </c>
      <c r="G320" s="396">
        <f>(DSUM('2_Fluorats'!$E$11:$P$33,"emisiones",'6.2_Resultats Espanya'!E$71:E320)/1000)-SUM(G$72:G319)</f>
        <v>0</v>
      </c>
      <c r="H320" s="507">
        <f>(DSUM('3_Emissions processos'!$E$13:$L$35,"emisiones",'6.2_Resultats Espanya'!E$71:E320)/1000)-SUM(H$72:H319)</f>
        <v>0</v>
      </c>
      <c r="I320" s="507"/>
      <c r="J320" s="508">
        <f t="shared" si="8"/>
        <v>0</v>
      </c>
      <c r="K320" s="508"/>
      <c r="L320" s="508"/>
      <c r="M320" s="508"/>
      <c r="N320" s="507">
        <f>(DSUM('4.2_Electricitat Espanya'!$E$19:$J$41,"emisiones",'6.2_Resultats Espanya'!E$71:E320)/1000)-SUM(N$72:N319)</f>
        <v>0</v>
      </c>
      <c r="O320" s="507"/>
      <c r="P320" s="508">
        <f t="shared" si="9"/>
        <v>0</v>
      </c>
      <c r="Q320" s="508"/>
      <c r="R320" s="508"/>
      <c r="S320" s="400"/>
      <c r="T320" s="400"/>
      <c r="U320" s="400"/>
    </row>
    <row r="321" spans="5:21" x14ac:dyDescent="0.3">
      <c r="E321" s="197" t="str">
        <f>IF(Dades!C911="","",Dades!C911)</f>
        <v/>
      </c>
      <c r="F321" s="396">
        <f>(DSUM('1_Combustibles fòssils'!$E$17:$N$39,"emisiones",'6.2_Resultats Espanya'!E$71:E321)/1000)-SUM(F$72:F320)</f>
        <v>0</v>
      </c>
      <c r="G321" s="396">
        <f>(DSUM('2_Fluorats'!$E$11:$P$33,"emisiones",'6.2_Resultats Espanya'!E$71:E321)/1000)-SUM(G$72:G320)</f>
        <v>0</v>
      </c>
      <c r="H321" s="507">
        <f>(DSUM('3_Emissions processos'!$E$13:$L$35,"emisiones",'6.2_Resultats Espanya'!E$71:E321)/1000)-SUM(H$72:H320)</f>
        <v>0</v>
      </c>
      <c r="I321" s="507"/>
      <c r="J321" s="508">
        <f t="shared" si="8"/>
        <v>0</v>
      </c>
      <c r="K321" s="508"/>
      <c r="L321" s="508"/>
      <c r="M321" s="508"/>
      <c r="N321" s="507">
        <f>(DSUM('4.2_Electricitat Espanya'!$E$19:$J$41,"emisiones",'6.2_Resultats Espanya'!E$71:E321)/1000)-SUM(N$72:N320)</f>
        <v>0</v>
      </c>
      <c r="O321" s="507"/>
      <c r="P321" s="508">
        <f t="shared" si="9"/>
        <v>0</v>
      </c>
      <c r="Q321" s="508"/>
      <c r="R321" s="508"/>
      <c r="S321" s="400"/>
      <c r="T321" s="400"/>
      <c r="U321" s="400"/>
    </row>
  </sheetData>
  <sheetProtection sheet="1" objects="1" scenarios="1"/>
  <mergeCells count="1057">
    <mergeCell ref="H320:I320"/>
    <mergeCell ref="J320:M320"/>
    <mergeCell ref="N320:O320"/>
    <mergeCell ref="P320:R320"/>
    <mergeCell ref="H321:I321"/>
    <mergeCell ref="J321:M321"/>
    <mergeCell ref="N321:O321"/>
    <mergeCell ref="P321:R321"/>
    <mergeCell ref="H317:I317"/>
    <mergeCell ref="J317:M317"/>
    <mergeCell ref="N317:O317"/>
    <mergeCell ref="P317:R317"/>
    <mergeCell ref="H318:I318"/>
    <mergeCell ref="J318:M318"/>
    <mergeCell ref="N318:O318"/>
    <mergeCell ref="P318:R318"/>
    <mergeCell ref="H319:I319"/>
    <mergeCell ref="J319:M319"/>
    <mergeCell ref="N319:O319"/>
    <mergeCell ref="P319:R319"/>
    <mergeCell ref="H314:I314"/>
    <mergeCell ref="J314:M314"/>
    <mergeCell ref="N314:O314"/>
    <mergeCell ref="P314:R314"/>
    <mergeCell ref="H315:I315"/>
    <mergeCell ref="J315:M315"/>
    <mergeCell ref="N315:O315"/>
    <mergeCell ref="P315:R315"/>
    <mergeCell ref="H316:I316"/>
    <mergeCell ref="J316:M316"/>
    <mergeCell ref="N316:O316"/>
    <mergeCell ref="P316:R316"/>
    <mergeCell ref="H311:I311"/>
    <mergeCell ref="J311:M311"/>
    <mergeCell ref="N311:O311"/>
    <mergeCell ref="P311:R311"/>
    <mergeCell ref="H312:I312"/>
    <mergeCell ref="J312:M312"/>
    <mergeCell ref="N312:O312"/>
    <mergeCell ref="P312:R312"/>
    <mergeCell ref="H313:I313"/>
    <mergeCell ref="J313:M313"/>
    <mergeCell ref="N313:O313"/>
    <mergeCell ref="P313:R313"/>
    <mergeCell ref="H308:I308"/>
    <mergeCell ref="J308:M308"/>
    <mergeCell ref="N308:O308"/>
    <mergeCell ref="P308:R308"/>
    <mergeCell ref="H309:I309"/>
    <mergeCell ref="J309:M309"/>
    <mergeCell ref="N309:O309"/>
    <mergeCell ref="P309:R309"/>
    <mergeCell ref="H310:I310"/>
    <mergeCell ref="J310:M310"/>
    <mergeCell ref="N310:O310"/>
    <mergeCell ref="P310:R310"/>
    <mergeCell ref="H305:I305"/>
    <mergeCell ref="J305:M305"/>
    <mergeCell ref="N305:O305"/>
    <mergeCell ref="P305:R305"/>
    <mergeCell ref="H306:I306"/>
    <mergeCell ref="J306:M306"/>
    <mergeCell ref="N306:O306"/>
    <mergeCell ref="P306:R306"/>
    <mergeCell ref="H307:I307"/>
    <mergeCell ref="J307:M307"/>
    <mergeCell ref="N307:O307"/>
    <mergeCell ref="P307:R307"/>
    <mergeCell ref="H302:I302"/>
    <mergeCell ref="J302:M302"/>
    <mergeCell ref="N302:O302"/>
    <mergeCell ref="P302:R302"/>
    <mergeCell ref="H303:I303"/>
    <mergeCell ref="J303:M303"/>
    <mergeCell ref="N303:O303"/>
    <mergeCell ref="P303:R303"/>
    <mergeCell ref="H304:I304"/>
    <mergeCell ref="J304:M304"/>
    <mergeCell ref="N304:O304"/>
    <mergeCell ref="P304:R304"/>
    <mergeCell ref="H299:I299"/>
    <mergeCell ref="J299:M299"/>
    <mergeCell ref="N299:O299"/>
    <mergeCell ref="P299:R299"/>
    <mergeCell ref="H300:I300"/>
    <mergeCell ref="J300:M300"/>
    <mergeCell ref="N300:O300"/>
    <mergeCell ref="P300:R300"/>
    <mergeCell ref="H301:I301"/>
    <mergeCell ref="J301:M301"/>
    <mergeCell ref="N301:O301"/>
    <mergeCell ref="P301:R301"/>
    <mergeCell ref="H296:I296"/>
    <mergeCell ref="J296:M296"/>
    <mergeCell ref="N296:O296"/>
    <mergeCell ref="P296:R296"/>
    <mergeCell ref="H297:I297"/>
    <mergeCell ref="J297:M297"/>
    <mergeCell ref="N297:O297"/>
    <mergeCell ref="P297:R297"/>
    <mergeCell ref="H298:I298"/>
    <mergeCell ref="J298:M298"/>
    <mergeCell ref="N298:O298"/>
    <mergeCell ref="P298:R298"/>
    <mergeCell ref="H293:I293"/>
    <mergeCell ref="J293:M293"/>
    <mergeCell ref="N293:O293"/>
    <mergeCell ref="P293:R293"/>
    <mergeCell ref="H294:I294"/>
    <mergeCell ref="J294:M294"/>
    <mergeCell ref="N294:O294"/>
    <mergeCell ref="P294:R294"/>
    <mergeCell ref="H295:I295"/>
    <mergeCell ref="J295:M295"/>
    <mergeCell ref="N295:O295"/>
    <mergeCell ref="P295:R295"/>
    <mergeCell ref="H290:I290"/>
    <mergeCell ref="J290:M290"/>
    <mergeCell ref="N290:O290"/>
    <mergeCell ref="P290:R290"/>
    <mergeCell ref="H291:I291"/>
    <mergeCell ref="J291:M291"/>
    <mergeCell ref="N291:O291"/>
    <mergeCell ref="P291:R291"/>
    <mergeCell ref="H292:I292"/>
    <mergeCell ref="J292:M292"/>
    <mergeCell ref="N292:O292"/>
    <mergeCell ref="P292:R292"/>
    <mergeCell ref="H287:I287"/>
    <mergeCell ref="J287:M287"/>
    <mergeCell ref="N287:O287"/>
    <mergeCell ref="P287:R287"/>
    <mergeCell ref="H288:I288"/>
    <mergeCell ref="J288:M288"/>
    <mergeCell ref="N288:O288"/>
    <mergeCell ref="P288:R288"/>
    <mergeCell ref="H289:I289"/>
    <mergeCell ref="J289:M289"/>
    <mergeCell ref="N289:O289"/>
    <mergeCell ref="P289:R289"/>
    <mergeCell ref="H284:I284"/>
    <mergeCell ref="J284:M284"/>
    <mergeCell ref="N284:O284"/>
    <mergeCell ref="P284:R284"/>
    <mergeCell ref="H285:I285"/>
    <mergeCell ref="J285:M285"/>
    <mergeCell ref="N285:O285"/>
    <mergeCell ref="P285:R285"/>
    <mergeCell ref="H286:I286"/>
    <mergeCell ref="J286:M286"/>
    <mergeCell ref="N286:O286"/>
    <mergeCell ref="P286:R286"/>
    <mergeCell ref="H281:I281"/>
    <mergeCell ref="J281:M281"/>
    <mergeCell ref="N281:O281"/>
    <mergeCell ref="P281:R281"/>
    <mergeCell ref="H282:I282"/>
    <mergeCell ref="J282:M282"/>
    <mergeCell ref="N282:O282"/>
    <mergeCell ref="P282:R282"/>
    <mergeCell ref="H283:I283"/>
    <mergeCell ref="J283:M283"/>
    <mergeCell ref="N283:O283"/>
    <mergeCell ref="P283:R283"/>
    <mergeCell ref="H278:I278"/>
    <mergeCell ref="J278:M278"/>
    <mergeCell ref="N278:O278"/>
    <mergeCell ref="P278:R278"/>
    <mergeCell ref="H279:I279"/>
    <mergeCell ref="J279:M279"/>
    <mergeCell ref="N279:O279"/>
    <mergeCell ref="P279:R279"/>
    <mergeCell ref="H280:I280"/>
    <mergeCell ref="J280:M280"/>
    <mergeCell ref="N280:O280"/>
    <mergeCell ref="P280:R280"/>
    <mergeCell ref="H275:I275"/>
    <mergeCell ref="J275:M275"/>
    <mergeCell ref="N275:O275"/>
    <mergeCell ref="P275:R275"/>
    <mergeCell ref="H276:I276"/>
    <mergeCell ref="J276:M276"/>
    <mergeCell ref="N276:O276"/>
    <mergeCell ref="P276:R276"/>
    <mergeCell ref="H277:I277"/>
    <mergeCell ref="J277:M277"/>
    <mergeCell ref="N277:O277"/>
    <mergeCell ref="P277:R277"/>
    <mergeCell ref="H272:I272"/>
    <mergeCell ref="J272:M272"/>
    <mergeCell ref="N272:O272"/>
    <mergeCell ref="P272:R272"/>
    <mergeCell ref="H273:I273"/>
    <mergeCell ref="J273:M273"/>
    <mergeCell ref="N273:O273"/>
    <mergeCell ref="P273:R273"/>
    <mergeCell ref="H274:I274"/>
    <mergeCell ref="J274:M274"/>
    <mergeCell ref="N274:O274"/>
    <mergeCell ref="P274:R274"/>
    <mergeCell ref="H269:I269"/>
    <mergeCell ref="J269:M269"/>
    <mergeCell ref="N269:O269"/>
    <mergeCell ref="P269:R269"/>
    <mergeCell ref="H270:I270"/>
    <mergeCell ref="J270:M270"/>
    <mergeCell ref="N270:O270"/>
    <mergeCell ref="P270:R270"/>
    <mergeCell ref="H271:I271"/>
    <mergeCell ref="J271:M271"/>
    <mergeCell ref="N271:O271"/>
    <mergeCell ref="P271:R271"/>
    <mergeCell ref="H266:I266"/>
    <mergeCell ref="J266:M266"/>
    <mergeCell ref="N266:O266"/>
    <mergeCell ref="P266:R266"/>
    <mergeCell ref="H267:I267"/>
    <mergeCell ref="J267:M267"/>
    <mergeCell ref="N267:O267"/>
    <mergeCell ref="P267:R267"/>
    <mergeCell ref="H268:I268"/>
    <mergeCell ref="J268:M268"/>
    <mergeCell ref="N268:O268"/>
    <mergeCell ref="P268:R268"/>
    <mergeCell ref="H263:I263"/>
    <mergeCell ref="J263:M263"/>
    <mergeCell ref="N263:O263"/>
    <mergeCell ref="P263:R263"/>
    <mergeCell ref="H264:I264"/>
    <mergeCell ref="J264:M264"/>
    <mergeCell ref="N264:O264"/>
    <mergeCell ref="P264:R264"/>
    <mergeCell ref="H265:I265"/>
    <mergeCell ref="J265:M265"/>
    <mergeCell ref="N265:O265"/>
    <mergeCell ref="P265:R265"/>
    <mergeCell ref="H260:I260"/>
    <mergeCell ref="J260:M260"/>
    <mergeCell ref="N260:O260"/>
    <mergeCell ref="P260:R260"/>
    <mergeCell ref="H261:I261"/>
    <mergeCell ref="J261:M261"/>
    <mergeCell ref="N261:O261"/>
    <mergeCell ref="P261:R261"/>
    <mergeCell ref="H262:I262"/>
    <mergeCell ref="J262:M262"/>
    <mergeCell ref="N262:O262"/>
    <mergeCell ref="P262:R262"/>
    <mergeCell ref="H257:I257"/>
    <mergeCell ref="J257:M257"/>
    <mergeCell ref="N257:O257"/>
    <mergeCell ref="P257:R257"/>
    <mergeCell ref="H258:I258"/>
    <mergeCell ref="J258:M258"/>
    <mergeCell ref="N258:O258"/>
    <mergeCell ref="P258:R258"/>
    <mergeCell ref="H259:I259"/>
    <mergeCell ref="J259:M259"/>
    <mergeCell ref="N259:O259"/>
    <mergeCell ref="P259:R259"/>
    <mergeCell ref="H254:I254"/>
    <mergeCell ref="J254:M254"/>
    <mergeCell ref="N254:O254"/>
    <mergeCell ref="P254:R254"/>
    <mergeCell ref="H255:I255"/>
    <mergeCell ref="J255:M255"/>
    <mergeCell ref="N255:O255"/>
    <mergeCell ref="P255:R255"/>
    <mergeCell ref="H256:I256"/>
    <mergeCell ref="J256:M256"/>
    <mergeCell ref="N256:O256"/>
    <mergeCell ref="P256:R256"/>
    <mergeCell ref="H251:I251"/>
    <mergeCell ref="J251:M251"/>
    <mergeCell ref="N251:O251"/>
    <mergeCell ref="P251:R251"/>
    <mergeCell ref="H252:I252"/>
    <mergeCell ref="J252:M252"/>
    <mergeCell ref="N252:O252"/>
    <mergeCell ref="P252:R252"/>
    <mergeCell ref="H253:I253"/>
    <mergeCell ref="J253:M253"/>
    <mergeCell ref="N253:O253"/>
    <mergeCell ref="P253:R253"/>
    <mergeCell ref="H248:I248"/>
    <mergeCell ref="J248:M248"/>
    <mergeCell ref="N248:O248"/>
    <mergeCell ref="P248:R248"/>
    <mergeCell ref="H249:I249"/>
    <mergeCell ref="J249:M249"/>
    <mergeCell ref="N249:O249"/>
    <mergeCell ref="P249:R249"/>
    <mergeCell ref="H250:I250"/>
    <mergeCell ref="J250:M250"/>
    <mergeCell ref="N250:O250"/>
    <mergeCell ref="P250:R250"/>
    <mergeCell ref="H245:I245"/>
    <mergeCell ref="J245:M245"/>
    <mergeCell ref="N245:O245"/>
    <mergeCell ref="P245:R245"/>
    <mergeCell ref="H246:I246"/>
    <mergeCell ref="J246:M246"/>
    <mergeCell ref="N246:O246"/>
    <mergeCell ref="P246:R246"/>
    <mergeCell ref="H247:I247"/>
    <mergeCell ref="J247:M247"/>
    <mergeCell ref="N247:O247"/>
    <mergeCell ref="P247:R247"/>
    <mergeCell ref="H242:I242"/>
    <mergeCell ref="J242:M242"/>
    <mergeCell ref="N242:O242"/>
    <mergeCell ref="P242:R242"/>
    <mergeCell ref="H243:I243"/>
    <mergeCell ref="J243:M243"/>
    <mergeCell ref="N243:O243"/>
    <mergeCell ref="P243:R243"/>
    <mergeCell ref="H244:I244"/>
    <mergeCell ref="J244:M244"/>
    <mergeCell ref="N244:O244"/>
    <mergeCell ref="P244:R244"/>
    <mergeCell ref="H239:I239"/>
    <mergeCell ref="J239:M239"/>
    <mergeCell ref="N239:O239"/>
    <mergeCell ref="P239:R239"/>
    <mergeCell ref="H240:I240"/>
    <mergeCell ref="J240:M240"/>
    <mergeCell ref="N240:O240"/>
    <mergeCell ref="P240:R240"/>
    <mergeCell ref="H241:I241"/>
    <mergeCell ref="J241:M241"/>
    <mergeCell ref="N241:O241"/>
    <mergeCell ref="P241:R241"/>
    <mergeCell ref="H236:I236"/>
    <mergeCell ref="J236:M236"/>
    <mergeCell ref="N236:O236"/>
    <mergeCell ref="P236:R236"/>
    <mergeCell ref="H237:I237"/>
    <mergeCell ref="J237:M237"/>
    <mergeCell ref="N237:O237"/>
    <mergeCell ref="P237:R237"/>
    <mergeCell ref="H238:I238"/>
    <mergeCell ref="J238:M238"/>
    <mergeCell ref="N238:O238"/>
    <mergeCell ref="P238:R238"/>
    <mergeCell ref="H233:I233"/>
    <mergeCell ref="J233:M233"/>
    <mergeCell ref="N233:O233"/>
    <mergeCell ref="P233:R233"/>
    <mergeCell ref="H234:I234"/>
    <mergeCell ref="J234:M234"/>
    <mergeCell ref="N234:O234"/>
    <mergeCell ref="P234:R234"/>
    <mergeCell ref="H235:I235"/>
    <mergeCell ref="J235:M235"/>
    <mergeCell ref="N235:O235"/>
    <mergeCell ref="P235:R235"/>
    <mergeCell ref="H230:I230"/>
    <mergeCell ref="J230:M230"/>
    <mergeCell ref="N230:O230"/>
    <mergeCell ref="P230:R230"/>
    <mergeCell ref="H231:I231"/>
    <mergeCell ref="J231:M231"/>
    <mergeCell ref="N231:O231"/>
    <mergeCell ref="P231:R231"/>
    <mergeCell ref="H232:I232"/>
    <mergeCell ref="J232:M232"/>
    <mergeCell ref="N232:O232"/>
    <mergeCell ref="P232:R232"/>
    <mergeCell ref="H227:I227"/>
    <mergeCell ref="J227:M227"/>
    <mergeCell ref="N227:O227"/>
    <mergeCell ref="P227:R227"/>
    <mergeCell ref="H228:I228"/>
    <mergeCell ref="J228:M228"/>
    <mergeCell ref="N228:O228"/>
    <mergeCell ref="P228:R228"/>
    <mergeCell ref="H229:I229"/>
    <mergeCell ref="J229:M229"/>
    <mergeCell ref="N229:O229"/>
    <mergeCell ref="P229:R229"/>
    <mergeCell ref="H224:I224"/>
    <mergeCell ref="J224:M224"/>
    <mergeCell ref="N224:O224"/>
    <mergeCell ref="P224:R224"/>
    <mergeCell ref="H225:I225"/>
    <mergeCell ref="J225:M225"/>
    <mergeCell ref="N225:O225"/>
    <mergeCell ref="P225:R225"/>
    <mergeCell ref="H226:I226"/>
    <mergeCell ref="J226:M226"/>
    <mergeCell ref="N226:O226"/>
    <mergeCell ref="P226:R226"/>
    <mergeCell ref="H221:I221"/>
    <mergeCell ref="J221:M221"/>
    <mergeCell ref="N221:O221"/>
    <mergeCell ref="P221:R221"/>
    <mergeCell ref="H222:I222"/>
    <mergeCell ref="J222:M222"/>
    <mergeCell ref="N222:O222"/>
    <mergeCell ref="P222:R222"/>
    <mergeCell ref="H223:I223"/>
    <mergeCell ref="J223:M223"/>
    <mergeCell ref="N223:O223"/>
    <mergeCell ref="P223:R223"/>
    <mergeCell ref="H218:I218"/>
    <mergeCell ref="J218:M218"/>
    <mergeCell ref="N218:O218"/>
    <mergeCell ref="P218:R218"/>
    <mergeCell ref="H219:I219"/>
    <mergeCell ref="J219:M219"/>
    <mergeCell ref="N219:O219"/>
    <mergeCell ref="P219:R219"/>
    <mergeCell ref="H220:I220"/>
    <mergeCell ref="J220:M220"/>
    <mergeCell ref="N220:O220"/>
    <mergeCell ref="P220:R220"/>
    <mergeCell ref="H215:I215"/>
    <mergeCell ref="J215:M215"/>
    <mergeCell ref="N215:O215"/>
    <mergeCell ref="P215:R215"/>
    <mergeCell ref="H216:I216"/>
    <mergeCell ref="J216:M216"/>
    <mergeCell ref="N216:O216"/>
    <mergeCell ref="P216:R216"/>
    <mergeCell ref="H217:I217"/>
    <mergeCell ref="J217:M217"/>
    <mergeCell ref="N217:O217"/>
    <mergeCell ref="P217:R217"/>
    <mergeCell ref="H212:I212"/>
    <mergeCell ref="J212:M212"/>
    <mergeCell ref="N212:O212"/>
    <mergeCell ref="P212:R212"/>
    <mergeCell ref="H213:I213"/>
    <mergeCell ref="J213:M213"/>
    <mergeCell ref="N213:O213"/>
    <mergeCell ref="P213:R213"/>
    <mergeCell ref="H214:I214"/>
    <mergeCell ref="J214:M214"/>
    <mergeCell ref="N214:O214"/>
    <mergeCell ref="P214:R214"/>
    <mergeCell ref="H209:I209"/>
    <mergeCell ref="J209:M209"/>
    <mergeCell ref="N209:O209"/>
    <mergeCell ref="P209:R209"/>
    <mergeCell ref="H210:I210"/>
    <mergeCell ref="J210:M210"/>
    <mergeCell ref="N210:O210"/>
    <mergeCell ref="P210:R210"/>
    <mergeCell ref="H211:I211"/>
    <mergeCell ref="J211:M211"/>
    <mergeCell ref="N211:O211"/>
    <mergeCell ref="P211:R211"/>
    <mergeCell ref="H206:I206"/>
    <mergeCell ref="J206:M206"/>
    <mergeCell ref="N206:O206"/>
    <mergeCell ref="P206:R206"/>
    <mergeCell ref="H207:I207"/>
    <mergeCell ref="J207:M207"/>
    <mergeCell ref="N207:O207"/>
    <mergeCell ref="P207:R207"/>
    <mergeCell ref="H208:I208"/>
    <mergeCell ref="J208:M208"/>
    <mergeCell ref="N208:O208"/>
    <mergeCell ref="P208:R208"/>
    <mergeCell ref="H203:I203"/>
    <mergeCell ref="J203:M203"/>
    <mergeCell ref="N203:O203"/>
    <mergeCell ref="P203:R203"/>
    <mergeCell ref="H204:I204"/>
    <mergeCell ref="J204:M204"/>
    <mergeCell ref="N204:O204"/>
    <mergeCell ref="P204:R204"/>
    <mergeCell ref="H205:I205"/>
    <mergeCell ref="J205:M205"/>
    <mergeCell ref="N205:O205"/>
    <mergeCell ref="P205:R205"/>
    <mergeCell ref="H200:I200"/>
    <mergeCell ref="J200:M200"/>
    <mergeCell ref="N200:O200"/>
    <mergeCell ref="P200:R200"/>
    <mergeCell ref="H201:I201"/>
    <mergeCell ref="J201:M201"/>
    <mergeCell ref="N201:O201"/>
    <mergeCell ref="P201:R201"/>
    <mergeCell ref="H202:I202"/>
    <mergeCell ref="J202:M202"/>
    <mergeCell ref="N202:O202"/>
    <mergeCell ref="P202:R202"/>
    <mergeCell ref="H197:I197"/>
    <mergeCell ref="J197:M197"/>
    <mergeCell ref="N197:O197"/>
    <mergeCell ref="P197:R197"/>
    <mergeCell ref="H198:I198"/>
    <mergeCell ref="J198:M198"/>
    <mergeCell ref="N198:O198"/>
    <mergeCell ref="P198:R198"/>
    <mergeCell ref="H199:I199"/>
    <mergeCell ref="J199:M199"/>
    <mergeCell ref="N199:O199"/>
    <mergeCell ref="P199:R199"/>
    <mergeCell ref="H194:I194"/>
    <mergeCell ref="J194:M194"/>
    <mergeCell ref="N194:O194"/>
    <mergeCell ref="P194:R194"/>
    <mergeCell ref="H195:I195"/>
    <mergeCell ref="J195:M195"/>
    <mergeCell ref="N195:O195"/>
    <mergeCell ref="P195:R195"/>
    <mergeCell ref="H196:I196"/>
    <mergeCell ref="J196:M196"/>
    <mergeCell ref="N196:O196"/>
    <mergeCell ref="P196:R196"/>
    <mergeCell ref="H191:I191"/>
    <mergeCell ref="J191:M191"/>
    <mergeCell ref="N191:O191"/>
    <mergeCell ref="P191:R191"/>
    <mergeCell ref="H192:I192"/>
    <mergeCell ref="J192:M192"/>
    <mergeCell ref="N192:O192"/>
    <mergeCell ref="P192:R192"/>
    <mergeCell ref="H193:I193"/>
    <mergeCell ref="J193:M193"/>
    <mergeCell ref="N193:O193"/>
    <mergeCell ref="P193:R193"/>
    <mergeCell ref="H188:I188"/>
    <mergeCell ref="J188:M188"/>
    <mergeCell ref="N188:O188"/>
    <mergeCell ref="P188:R188"/>
    <mergeCell ref="H189:I189"/>
    <mergeCell ref="J189:M189"/>
    <mergeCell ref="N189:O189"/>
    <mergeCell ref="P189:R189"/>
    <mergeCell ref="H190:I190"/>
    <mergeCell ref="J190:M190"/>
    <mergeCell ref="N190:O190"/>
    <mergeCell ref="P190:R190"/>
    <mergeCell ref="H185:I185"/>
    <mergeCell ref="J185:M185"/>
    <mergeCell ref="N185:O185"/>
    <mergeCell ref="P185:R185"/>
    <mergeCell ref="H186:I186"/>
    <mergeCell ref="J186:M186"/>
    <mergeCell ref="N186:O186"/>
    <mergeCell ref="P186:R186"/>
    <mergeCell ref="H187:I187"/>
    <mergeCell ref="J187:M187"/>
    <mergeCell ref="N187:O187"/>
    <mergeCell ref="P187:R187"/>
    <mergeCell ref="H182:I182"/>
    <mergeCell ref="J182:M182"/>
    <mergeCell ref="N182:O182"/>
    <mergeCell ref="P182:R182"/>
    <mergeCell ref="H183:I183"/>
    <mergeCell ref="J183:M183"/>
    <mergeCell ref="N183:O183"/>
    <mergeCell ref="P183:R183"/>
    <mergeCell ref="H184:I184"/>
    <mergeCell ref="J184:M184"/>
    <mergeCell ref="N184:O184"/>
    <mergeCell ref="P184:R184"/>
    <mergeCell ref="H179:I179"/>
    <mergeCell ref="J179:M179"/>
    <mergeCell ref="N179:O179"/>
    <mergeCell ref="P179:R179"/>
    <mergeCell ref="H180:I180"/>
    <mergeCell ref="J180:M180"/>
    <mergeCell ref="N180:O180"/>
    <mergeCell ref="P180:R180"/>
    <mergeCell ref="H181:I181"/>
    <mergeCell ref="J181:M181"/>
    <mergeCell ref="N181:O181"/>
    <mergeCell ref="P181:R181"/>
    <mergeCell ref="H176:I176"/>
    <mergeCell ref="J176:M176"/>
    <mergeCell ref="N176:O176"/>
    <mergeCell ref="P176:R176"/>
    <mergeCell ref="H177:I177"/>
    <mergeCell ref="J177:M177"/>
    <mergeCell ref="N177:O177"/>
    <mergeCell ref="P177:R177"/>
    <mergeCell ref="H178:I178"/>
    <mergeCell ref="J178:M178"/>
    <mergeCell ref="N178:O178"/>
    <mergeCell ref="P178:R178"/>
    <mergeCell ref="H173:I173"/>
    <mergeCell ref="J173:M173"/>
    <mergeCell ref="N173:O173"/>
    <mergeCell ref="P173:R173"/>
    <mergeCell ref="H174:I174"/>
    <mergeCell ref="J174:M174"/>
    <mergeCell ref="N174:O174"/>
    <mergeCell ref="P174:R174"/>
    <mergeCell ref="H175:I175"/>
    <mergeCell ref="J175:M175"/>
    <mergeCell ref="N175:O175"/>
    <mergeCell ref="P175:R175"/>
    <mergeCell ref="H170:I170"/>
    <mergeCell ref="J170:M170"/>
    <mergeCell ref="N170:O170"/>
    <mergeCell ref="P170:R170"/>
    <mergeCell ref="H171:I171"/>
    <mergeCell ref="J171:M171"/>
    <mergeCell ref="N171:O171"/>
    <mergeCell ref="P171:R171"/>
    <mergeCell ref="H172:I172"/>
    <mergeCell ref="J172:M172"/>
    <mergeCell ref="N172:O172"/>
    <mergeCell ref="P172:R172"/>
    <mergeCell ref="H167:I167"/>
    <mergeCell ref="J167:M167"/>
    <mergeCell ref="P167:R167"/>
    <mergeCell ref="H168:I168"/>
    <mergeCell ref="J168:M168"/>
    <mergeCell ref="N168:O168"/>
    <mergeCell ref="P168:R168"/>
    <mergeCell ref="H169:I169"/>
    <mergeCell ref="J169:M169"/>
    <mergeCell ref="P169:R169"/>
    <mergeCell ref="N167:O167"/>
    <mergeCell ref="N169:O169"/>
    <mergeCell ref="H164:I164"/>
    <mergeCell ref="J164:M164"/>
    <mergeCell ref="P164:R164"/>
    <mergeCell ref="H165:I165"/>
    <mergeCell ref="J165:M165"/>
    <mergeCell ref="P165:R165"/>
    <mergeCell ref="H166:I166"/>
    <mergeCell ref="J166:M166"/>
    <mergeCell ref="N166:O166"/>
    <mergeCell ref="P166:R166"/>
    <mergeCell ref="H161:I161"/>
    <mergeCell ref="J161:M161"/>
    <mergeCell ref="N161:O161"/>
    <mergeCell ref="P161:R161"/>
    <mergeCell ref="H162:I162"/>
    <mergeCell ref="J162:M162"/>
    <mergeCell ref="N162:O162"/>
    <mergeCell ref="P162:R162"/>
    <mergeCell ref="H163:I163"/>
    <mergeCell ref="J163:M163"/>
    <mergeCell ref="P163:R163"/>
    <mergeCell ref="N165:O165"/>
    <mergeCell ref="N163:O163"/>
    <mergeCell ref="N164:O164"/>
    <mergeCell ref="H158:I158"/>
    <mergeCell ref="J158:M158"/>
    <mergeCell ref="N158:O158"/>
    <mergeCell ref="P158:R158"/>
    <mergeCell ref="H159:I159"/>
    <mergeCell ref="J159:M159"/>
    <mergeCell ref="P159:R159"/>
    <mergeCell ref="H160:I160"/>
    <mergeCell ref="J160:M160"/>
    <mergeCell ref="N160:O160"/>
    <mergeCell ref="P160:R160"/>
    <mergeCell ref="H155:I155"/>
    <mergeCell ref="J155:M155"/>
    <mergeCell ref="P155:R155"/>
    <mergeCell ref="H156:I156"/>
    <mergeCell ref="J156:M156"/>
    <mergeCell ref="N156:O156"/>
    <mergeCell ref="P156:R156"/>
    <mergeCell ref="H157:I157"/>
    <mergeCell ref="J157:M157"/>
    <mergeCell ref="P157:R157"/>
    <mergeCell ref="N157:O157"/>
    <mergeCell ref="N159:O159"/>
    <mergeCell ref="N155:O155"/>
    <mergeCell ref="H134:I134"/>
    <mergeCell ref="J134:M134"/>
    <mergeCell ref="P134:R134"/>
    <mergeCell ref="H135:I135"/>
    <mergeCell ref="J135:M135"/>
    <mergeCell ref="P135:R135"/>
    <mergeCell ref="H136:I136"/>
    <mergeCell ref="J136:M136"/>
    <mergeCell ref="N136:O136"/>
    <mergeCell ref="P136:R136"/>
    <mergeCell ref="H148:I148"/>
    <mergeCell ref="J148:M148"/>
    <mergeCell ref="N148:O148"/>
    <mergeCell ref="P148:R148"/>
    <mergeCell ref="H145:I145"/>
    <mergeCell ref="J145:M145"/>
    <mergeCell ref="P145:R145"/>
    <mergeCell ref="H146:I146"/>
    <mergeCell ref="J146:M146"/>
    <mergeCell ref="N146:O146"/>
    <mergeCell ref="P146:R146"/>
    <mergeCell ref="H147:I147"/>
    <mergeCell ref="J147:M147"/>
    <mergeCell ref="P147:R147"/>
    <mergeCell ref="H141:I141"/>
    <mergeCell ref="J141:M141"/>
    <mergeCell ref="N141:O141"/>
    <mergeCell ref="P141:R141"/>
    <mergeCell ref="H142:I142"/>
    <mergeCell ref="J142:M142"/>
    <mergeCell ref="N142:O142"/>
    <mergeCell ref="P142:R142"/>
    <mergeCell ref="H131:I131"/>
    <mergeCell ref="J131:M131"/>
    <mergeCell ref="N131:O131"/>
    <mergeCell ref="P131:R131"/>
    <mergeCell ref="H132:I132"/>
    <mergeCell ref="J132:M132"/>
    <mergeCell ref="N132:O132"/>
    <mergeCell ref="P132:R132"/>
    <mergeCell ref="H123:I123"/>
    <mergeCell ref="J123:M123"/>
    <mergeCell ref="P123:R123"/>
    <mergeCell ref="H124:I124"/>
    <mergeCell ref="J124:M124"/>
    <mergeCell ref="P124:R124"/>
    <mergeCell ref="H125:I125"/>
    <mergeCell ref="J125:M125"/>
    <mergeCell ref="P125:R125"/>
    <mergeCell ref="N124:O124"/>
    <mergeCell ref="N125:O125"/>
    <mergeCell ref="N127:O127"/>
    <mergeCell ref="N129:O129"/>
    <mergeCell ref="H126:I126"/>
    <mergeCell ref="J126:M126"/>
    <mergeCell ref="N126:O126"/>
    <mergeCell ref="P126:R126"/>
    <mergeCell ref="H127:I127"/>
    <mergeCell ref="J127:M127"/>
    <mergeCell ref="P127:R127"/>
    <mergeCell ref="H130:I130"/>
    <mergeCell ref="J130:M130"/>
    <mergeCell ref="N130:O130"/>
    <mergeCell ref="P130:R130"/>
    <mergeCell ref="H128:I128"/>
    <mergeCell ref="J128:M128"/>
    <mergeCell ref="N128:O128"/>
    <mergeCell ref="P128:R128"/>
    <mergeCell ref="H129:I129"/>
    <mergeCell ref="J129:M129"/>
    <mergeCell ref="P129:R129"/>
    <mergeCell ref="N115:O115"/>
    <mergeCell ref="N117:O117"/>
    <mergeCell ref="N119:O119"/>
    <mergeCell ref="N123:O123"/>
    <mergeCell ref="H116:I116"/>
    <mergeCell ref="J116:M116"/>
    <mergeCell ref="H108:I108"/>
    <mergeCell ref="J108:M108"/>
    <mergeCell ref="N108:O108"/>
    <mergeCell ref="P108:R108"/>
    <mergeCell ref="H110:I110"/>
    <mergeCell ref="J110:M110"/>
    <mergeCell ref="N110:O110"/>
    <mergeCell ref="P110:R110"/>
    <mergeCell ref="H111:I111"/>
    <mergeCell ref="J111:M111"/>
    <mergeCell ref="N111:O111"/>
    <mergeCell ref="P111:R111"/>
    <mergeCell ref="H112:I112"/>
    <mergeCell ref="J112:M112"/>
    <mergeCell ref="N112:O112"/>
    <mergeCell ref="N107:O107"/>
    <mergeCell ref="P121:R121"/>
    <mergeCell ref="H122:I122"/>
    <mergeCell ref="J122:M122"/>
    <mergeCell ref="N122:O122"/>
    <mergeCell ref="P122:R122"/>
    <mergeCell ref="P112:R112"/>
    <mergeCell ref="H113:I113"/>
    <mergeCell ref="J113:M113"/>
    <mergeCell ref="P113:R113"/>
    <mergeCell ref="H114:I114"/>
    <mergeCell ref="J114:M114"/>
    <mergeCell ref="P114:R114"/>
    <mergeCell ref="H115:I115"/>
    <mergeCell ref="J115:M115"/>
    <mergeCell ref="P115:R115"/>
    <mergeCell ref="N109:O109"/>
    <mergeCell ref="N113:O113"/>
    <mergeCell ref="N114:O114"/>
    <mergeCell ref="H109:I109"/>
    <mergeCell ref="J109:M109"/>
    <mergeCell ref="P109:R109"/>
    <mergeCell ref="H106:I106"/>
    <mergeCell ref="J106:M106"/>
    <mergeCell ref="N106:O106"/>
    <mergeCell ref="P106:R106"/>
    <mergeCell ref="H107:I107"/>
    <mergeCell ref="J107:M107"/>
    <mergeCell ref="P107:R107"/>
    <mergeCell ref="J97:M97"/>
    <mergeCell ref="P97:R97"/>
    <mergeCell ref="H94:I94"/>
    <mergeCell ref="J94:M94"/>
    <mergeCell ref="P94:R94"/>
    <mergeCell ref="H95:I95"/>
    <mergeCell ref="J95:M95"/>
    <mergeCell ref="P95:R95"/>
    <mergeCell ref="H96:I96"/>
    <mergeCell ref="N99:O99"/>
    <mergeCell ref="N103:O103"/>
    <mergeCell ref="N104:O104"/>
    <mergeCell ref="N105:O105"/>
    <mergeCell ref="H99:I99"/>
    <mergeCell ref="J99:M99"/>
    <mergeCell ref="P102:R102"/>
    <mergeCell ref="H103:I103"/>
    <mergeCell ref="J103:M103"/>
    <mergeCell ref="P103:R103"/>
    <mergeCell ref="H104:I104"/>
    <mergeCell ref="J104:M104"/>
    <mergeCell ref="P104:R104"/>
    <mergeCell ref="H105:I105"/>
    <mergeCell ref="J105:M105"/>
    <mergeCell ref="P105:R105"/>
    <mergeCell ref="H152:I152"/>
    <mergeCell ref="P78:R78"/>
    <mergeCell ref="H79:I79"/>
    <mergeCell ref="J79:M79"/>
    <mergeCell ref="P79:R79"/>
    <mergeCell ref="H80:I80"/>
    <mergeCell ref="J80:M80"/>
    <mergeCell ref="N80:O80"/>
    <mergeCell ref="P80:R80"/>
    <mergeCell ref="H81:I81"/>
    <mergeCell ref="J81:M81"/>
    <mergeCell ref="N81:O81"/>
    <mergeCell ref="P81:R81"/>
    <mergeCell ref="J96:M96"/>
    <mergeCell ref="N96:O96"/>
    <mergeCell ref="P96:R96"/>
    <mergeCell ref="H97:I97"/>
    <mergeCell ref="J152:M152"/>
    <mergeCell ref="N79:O79"/>
    <mergeCell ref="N83:O83"/>
    <mergeCell ref="N84:O84"/>
    <mergeCell ref="N85:O85"/>
    <mergeCell ref="N87:O87"/>
    <mergeCell ref="N89:O89"/>
    <mergeCell ref="H82:I82"/>
    <mergeCell ref="H98:I98"/>
    <mergeCell ref="J98:M98"/>
    <mergeCell ref="N98:O98"/>
    <mergeCell ref="P98:R98"/>
    <mergeCell ref="H89:I89"/>
    <mergeCell ref="J89:M89"/>
    <mergeCell ref="P89:R89"/>
    <mergeCell ref="J143:M143"/>
    <mergeCell ref="P143:R143"/>
    <mergeCell ref="H144:I144"/>
    <mergeCell ref="J144:M144"/>
    <mergeCell ref="P144:R144"/>
    <mergeCell ref="H151:I151"/>
    <mergeCell ref="J86:M86"/>
    <mergeCell ref="N86:O86"/>
    <mergeCell ref="P86:R86"/>
    <mergeCell ref="H87:I87"/>
    <mergeCell ref="J87:M87"/>
    <mergeCell ref="P87:R87"/>
    <mergeCell ref="H88:I88"/>
    <mergeCell ref="J88:M88"/>
    <mergeCell ref="N88:O88"/>
    <mergeCell ref="P88:R88"/>
    <mergeCell ref="J151:M151"/>
    <mergeCell ref="N151:O151"/>
    <mergeCell ref="P151:R151"/>
    <mergeCell ref="H90:I90"/>
    <mergeCell ref="J90:M90"/>
    <mergeCell ref="N90:O90"/>
    <mergeCell ref="P90:R90"/>
    <mergeCell ref="H91:I91"/>
    <mergeCell ref="J91:M91"/>
    <mergeCell ref="N91:O91"/>
    <mergeCell ref="P91:R91"/>
    <mergeCell ref="N93:O93"/>
    <mergeCell ref="N94:O94"/>
    <mergeCell ref="N95:O95"/>
    <mergeCell ref="N97:O97"/>
    <mergeCell ref="H92:I92"/>
    <mergeCell ref="J137:M137"/>
    <mergeCell ref="P137:R137"/>
    <mergeCell ref="H138:I138"/>
    <mergeCell ref="J138:M138"/>
    <mergeCell ref="N138:O138"/>
    <mergeCell ref="P138:R138"/>
    <mergeCell ref="H139:I139"/>
    <mergeCell ref="J139:M139"/>
    <mergeCell ref="P139:R139"/>
    <mergeCell ref="N152:O152"/>
    <mergeCell ref="P152:R152"/>
    <mergeCell ref="H153:I153"/>
    <mergeCell ref="J153:M153"/>
    <mergeCell ref="P153:R153"/>
    <mergeCell ref="H154:I154"/>
    <mergeCell ref="J154:M154"/>
    <mergeCell ref="P154:R154"/>
    <mergeCell ref="N143:O143"/>
    <mergeCell ref="N144:O144"/>
    <mergeCell ref="N145:O145"/>
    <mergeCell ref="N147:O147"/>
    <mergeCell ref="H149:I149"/>
    <mergeCell ref="J149:M149"/>
    <mergeCell ref="P149:R149"/>
    <mergeCell ref="H150:I150"/>
    <mergeCell ref="J150:M150"/>
    <mergeCell ref="N150:O150"/>
    <mergeCell ref="P150:R150"/>
    <mergeCell ref="N149:O149"/>
    <mergeCell ref="N153:O153"/>
    <mergeCell ref="N154:O154"/>
    <mergeCell ref="H143:I143"/>
    <mergeCell ref="H140:I140"/>
    <mergeCell ref="J140:M140"/>
    <mergeCell ref="N140:O140"/>
    <mergeCell ref="P140:R140"/>
    <mergeCell ref="P133:R133"/>
    <mergeCell ref="N116:O116"/>
    <mergeCell ref="P116:R116"/>
    <mergeCell ref="H117:I117"/>
    <mergeCell ref="J117:M117"/>
    <mergeCell ref="P117:R117"/>
    <mergeCell ref="H118:I118"/>
    <mergeCell ref="J118:M118"/>
    <mergeCell ref="N118:O118"/>
    <mergeCell ref="P118:R118"/>
    <mergeCell ref="H119:I119"/>
    <mergeCell ref="J119:M119"/>
    <mergeCell ref="P119:R119"/>
    <mergeCell ref="H120:I120"/>
    <mergeCell ref="J120:M120"/>
    <mergeCell ref="N120:O120"/>
    <mergeCell ref="P120:R120"/>
    <mergeCell ref="H121:I121"/>
    <mergeCell ref="J121:M121"/>
    <mergeCell ref="N121:O121"/>
    <mergeCell ref="N133:O133"/>
    <mergeCell ref="N134:O134"/>
    <mergeCell ref="N135:O135"/>
    <mergeCell ref="N137:O137"/>
    <mergeCell ref="N139:O139"/>
    <mergeCell ref="H133:I133"/>
    <mergeCell ref="J133:M133"/>
    <mergeCell ref="H137:I137"/>
    <mergeCell ref="H101:I101"/>
    <mergeCell ref="J101:M101"/>
    <mergeCell ref="N101:O101"/>
    <mergeCell ref="P101:R101"/>
    <mergeCell ref="H102:I102"/>
    <mergeCell ref="J102:M102"/>
    <mergeCell ref="N102:O102"/>
    <mergeCell ref="J82:M82"/>
    <mergeCell ref="N82:O82"/>
    <mergeCell ref="P82:R82"/>
    <mergeCell ref="H83:I83"/>
    <mergeCell ref="J83:M83"/>
    <mergeCell ref="P83:R83"/>
    <mergeCell ref="H84:I84"/>
    <mergeCell ref="J84:M84"/>
    <mergeCell ref="P84:R84"/>
    <mergeCell ref="H85:I85"/>
    <mergeCell ref="J85:M85"/>
    <mergeCell ref="P85:R85"/>
    <mergeCell ref="H86:I86"/>
    <mergeCell ref="J92:M92"/>
    <mergeCell ref="N92:O92"/>
    <mergeCell ref="P92:R92"/>
    <mergeCell ref="H93:I93"/>
    <mergeCell ref="J93:M93"/>
    <mergeCell ref="P93:R93"/>
    <mergeCell ref="N75:O75"/>
    <mergeCell ref="N77:O77"/>
    <mergeCell ref="H75:I75"/>
    <mergeCell ref="J75:M75"/>
    <mergeCell ref="P75:R75"/>
    <mergeCell ref="H76:I76"/>
    <mergeCell ref="J76:M76"/>
    <mergeCell ref="N76:O76"/>
    <mergeCell ref="P76:R76"/>
    <mergeCell ref="H77:I77"/>
    <mergeCell ref="J77:M77"/>
    <mergeCell ref="P77:R77"/>
    <mergeCell ref="H78:I78"/>
    <mergeCell ref="J78:M78"/>
    <mergeCell ref="N78:O78"/>
    <mergeCell ref="P99:R99"/>
    <mergeCell ref="H100:I100"/>
    <mergeCell ref="J100:M100"/>
    <mergeCell ref="N100:O100"/>
    <mergeCell ref="P100:R100"/>
    <mergeCell ref="P71:R71"/>
    <mergeCell ref="P72:R72"/>
    <mergeCell ref="P73:R73"/>
    <mergeCell ref="P74:R74"/>
    <mergeCell ref="H73:I73"/>
    <mergeCell ref="J73:M73"/>
    <mergeCell ref="H74:I74"/>
    <mergeCell ref="J74:M74"/>
    <mergeCell ref="E32:K32"/>
    <mergeCell ref="D34:U34"/>
    <mergeCell ref="E38:E40"/>
    <mergeCell ref="O65:O66"/>
    <mergeCell ref="P65:P66"/>
    <mergeCell ref="Q65:Q66"/>
    <mergeCell ref="D68:U68"/>
    <mergeCell ref="N71:O71"/>
    <mergeCell ref="N72:O72"/>
    <mergeCell ref="H71:I71"/>
    <mergeCell ref="J71:M71"/>
    <mergeCell ref="H72:I72"/>
    <mergeCell ref="J72:M72"/>
    <mergeCell ref="N73:O73"/>
    <mergeCell ref="N74:O74"/>
    <mergeCell ref="E27:G27"/>
    <mergeCell ref="H27:I27"/>
    <mergeCell ref="J27:K27"/>
    <mergeCell ref="F29:G29"/>
    <mergeCell ref="H29:I29"/>
    <mergeCell ref="J29:K29"/>
    <mergeCell ref="E31:G31"/>
    <mergeCell ref="H31:I31"/>
    <mergeCell ref="J31:K31"/>
    <mergeCell ref="E19:G19"/>
    <mergeCell ref="H19:I19"/>
    <mergeCell ref="J19:K19"/>
    <mergeCell ref="E21:L21"/>
    <mergeCell ref="F23:G23"/>
    <mergeCell ref="H23:I23"/>
    <mergeCell ref="J23:K23"/>
    <mergeCell ref="F24:G24"/>
    <mergeCell ref="H24:I24"/>
    <mergeCell ref="J24:K24"/>
    <mergeCell ref="F25:G25"/>
    <mergeCell ref="H25:I25"/>
    <mergeCell ref="J25:K25"/>
    <mergeCell ref="E23:E26"/>
    <mergeCell ref="F26:G26"/>
    <mergeCell ref="H26:I26"/>
    <mergeCell ref="J26:K26"/>
    <mergeCell ref="A10:A11"/>
    <mergeCell ref="E11:M12"/>
    <mergeCell ref="A12:A13"/>
    <mergeCell ref="E14:F14"/>
    <mergeCell ref="E16:G16"/>
    <mergeCell ref="H16:I16"/>
    <mergeCell ref="J16:K16"/>
    <mergeCell ref="A17:A18"/>
    <mergeCell ref="E17:G17"/>
    <mergeCell ref="H17:I17"/>
    <mergeCell ref="J17:K17"/>
    <mergeCell ref="C1:U1"/>
    <mergeCell ref="E3:F3"/>
    <mergeCell ref="G3:S3"/>
    <mergeCell ref="A4:A5"/>
    <mergeCell ref="E5:F6"/>
    <mergeCell ref="G5:S6"/>
    <mergeCell ref="A6:A7"/>
    <mergeCell ref="A8:A9"/>
    <mergeCell ref="D8:U9"/>
  </mergeCells>
  <conditionalFormatting sqref="E71">
    <cfRule type="expression" dxfId="13" priority="16">
      <formula>$E$72&lt;&gt;""</formula>
    </cfRule>
  </conditionalFormatting>
  <conditionalFormatting sqref="F71">
    <cfRule type="expression" dxfId="12" priority="15">
      <formula>$E$72&lt;&gt;""</formula>
    </cfRule>
  </conditionalFormatting>
  <conditionalFormatting sqref="G71">
    <cfRule type="expression" dxfId="11" priority="13">
      <formula>$E$72&lt;&gt;""</formula>
    </cfRule>
  </conditionalFormatting>
  <conditionalFormatting sqref="H71:I71">
    <cfRule type="expression" dxfId="10" priority="12">
      <formula>$E$72&lt;&gt;""</formula>
    </cfRule>
  </conditionalFormatting>
  <conditionalFormatting sqref="J71:M71">
    <cfRule type="expression" dxfId="9" priority="11">
      <formula>$E$72&lt;&gt;""</formula>
    </cfRule>
  </conditionalFormatting>
  <conditionalFormatting sqref="N71:O71">
    <cfRule type="expression" dxfId="8" priority="10">
      <formula>$E$72&lt;&gt;""</formula>
    </cfRule>
  </conditionalFormatting>
  <conditionalFormatting sqref="P71:R71">
    <cfRule type="expression" dxfId="7" priority="9">
      <formula>$E$72&lt;&gt;""</formula>
    </cfRule>
  </conditionalFormatting>
  <conditionalFormatting sqref="E72:E321">
    <cfRule type="expression" dxfId="6" priority="8">
      <formula>$E72&lt;&gt;""</formula>
    </cfRule>
  </conditionalFormatting>
  <conditionalFormatting sqref="F72:F321">
    <cfRule type="expression" dxfId="5" priority="7">
      <formula>$E72&lt;&gt;""</formula>
    </cfRule>
  </conditionalFormatting>
  <conditionalFormatting sqref="H72:I321">
    <cfRule type="expression" dxfId="4" priority="6">
      <formula>$E72&lt;&gt;""</formula>
    </cfRule>
  </conditionalFormatting>
  <conditionalFormatting sqref="J72:M321">
    <cfRule type="expression" dxfId="3" priority="5">
      <formula>$E72&lt;&gt;""</formula>
    </cfRule>
  </conditionalFormatting>
  <conditionalFormatting sqref="N72:O321">
    <cfRule type="expression" dxfId="2" priority="4">
      <formula>$E72&lt;&gt;""</formula>
    </cfRule>
  </conditionalFormatting>
  <conditionalFormatting sqref="P72:R321">
    <cfRule type="expression" dxfId="1" priority="3">
      <formula>$E72&lt;&gt;""</formula>
    </cfRule>
  </conditionalFormatting>
  <conditionalFormatting sqref="G72:G321">
    <cfRule type="expression" dxfId="0" priority="1">
      <formula>$E72&lt;&gt;""</formula>
    </cfRule>
  </conditionalFormatting>
  <dataValidations disablePrompts="1" count="1">
    <dataValidation type="list" operator="equal" allowBlank="1" showInputMessage="1" showErrorMessage="1" sqref="E35">
      <formula1>$F$23:$F$35</formula1>
      <formula2>0</formula2>
    </dataValidation>
  </dataValidations>
  <hyperlinks>
    <hyperlink ref="A4" location="'1_Combustibles fósiles'!A1" display="1. HC Alcance 1: Comb. fósiles"/>
    <hyperlink ref="A6" location="'2_Fluorados'!A1" display="2. HC Alcance 1: Fugas fluorados"/>
    <hyperlink ref="A8" location="'3_Emisiones proceso'!A1" display="3. HC Alcance 1: Emisiones proceso"/>
    <hyperlink ref="A10" location="'4.1_Electricidad Illes Balears'!A1" display="4.1 HC 2: Electricidad I. Balears"/>
    <hyperlink ref="A12" location="'4.2_Electricidad España'!A1" display="4.2 HC 2: Electricidad España"/>
    <hyperlink ref="A3" location="'0_Dades generals organització'!A1" display="0. Dades de la organització"/>
    <hyperlink ref="A6:A7" location="'2_Fluorats'!A1" display="2. PC Abast 1: Fugues fluorats"/>
    <hyperlink ref="A4:A5" location="'1_Combustibles fòssils'!A1" display="1. PC Abast 1: Comb. fòssils"/>
    <hyperlink ref="A8:A9" location="'3_Emissions processos'!A1" display="3. PC Abast 1: Emissions procés"/>
    <hyperlink ref="A10:A11" location="'4.1_Electricitat Illes Balears'!A1" display="4.1 PC 2: Electricitat I. Balears"/>
    <hyperlink ref="A12:A13" location="'4.2_Electricitat Espanya'!A1" display="4.2 PC 2: Electricitat Espanya"/>
    <hyperlink ref="A14" location="'5_Informació addicional'!A1" display="5. Inf. addicional: renovables"/>
    <hyperlink ref="A15" location="'6.1_Resultats Illes Balears'!A1" display="6.1 Informe final: Resultats I. Balears"/>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3A2C7"/>
  </sheetPr>
  <dimension ref="A2:AR912"/>
  <sheetViews>
    <sheetView zoomScale="85" zoomScaleNormal="85" workbookViewId="0">
      <selection activeCell="B2" sqref="B2"/>
    </sheetView>
  </sheetViews>
  <sheetFormatPr baseColWidth="10" defaultColWidth="9.140625" defaultRowHeight="15" x14ac:dyDescent="0.25"/>
  <cols>
    <col min="1" max="1" width="3.7109375" customWidth="1"/>
    <col min="2" max="2" width="4.7109375" customWidth="1"/>
    <col min="3" max="3" width="30.28515625" customWidth="1"/>
    <col min="4" max="41" width="10.7109375" customWidth="1"/>
    <col min="42" max="42" width="13.5703125" customWidth="1"/>
    <col min="43" max="1025" width="10.7109375" customWidth="1"/>
  </cols>
  <sheetData>
    <row r="2" spans="1:34" ht="18.75" x14ac:dyDescent="0.3">
      <c r="D2" s="204" t="s">
        <v>9</v>
      </c>
      <c r="E2" s="205"/>
      <c r="F2" s="206">
        <f>'0_Dades generals organització'!G3</f>
        <v>2020</v>
      </c>
      <c r="Q2" s="207" t="s">
        <v>48</v>
      </c>
      <c r="R2" s="208"/>
      <c r="S2" s="207" t="s">
        <v>49</v>
      </c>
      <c r="T2" s="209"/>
      <c r="U2" s="209"/>
      <c r="V2" s="209"/>
      <c r="W2" s="209"/>
      <c r="X2" s="207" t="s">
        <v>50</v>
      </c>
      <c r="Y2" s="209"/>
      <c r="Z2" s="209"/>
      <c r="AA2" s="209"/>
      <c r="AB2" s="208"/>
      <c r="AC2" s="207" t="s">
        <v>51</v>
      </c>
      <c r="AD2" s="209"/>
      <c r="AE2" s="208"/>
      <c r="AF2" s="207" t="s">
        <v>52</v>
      </c>
      <c r="AG2" s="209"/>
      <c r="AH2" s="208"/>
    </row>
    <row r="3" spans="1:34" x14ac:dyDescent="0.25">
      <c r="Q3" s="210" t="s">
        <v>872</v>
      </c>
      <c r="R3" s="211"/>
      <c r="S3" s="210" t="s">
        <v>872</v>
      </c>
      <c r="T3" s="212"/>
      <c r="U3" s="212"/>
      <c r="V3" s="212"/>
      <c r="W3" s="212"/>
      <c r="X3" s="210" t="s">
        <v>26</v>
      </c>
      <c r="Y3" s="212"/>
      <c r="Z3" s="212"/>
      <c r="AA3" s="212"/>
      <c r="AB3" s="211"/>
      <c r="AC3" s="210" t="s">
        <v>53</v>
      </c>
      <c r="AD3" s="212"/>
      <c r="AE3" s="211"/>
      <c r="AF3" s="210" t="s">
        <v>53</v>
      </c>
      <c r="AG3" s="212"/>
      <c r="AH3" s="211"/>
    </row>
    <row r="4" spans="1:34" s="213" customFormat="1" x14ac:dyDescent="0.25">
      <c r="A4" s="213" t="s">
        <v>54</v>
      </c>
      <c r="Q4" s="210" t="s">
        <v>873</v>
      </c>
      <c r="R4" s="211"/>
      <c r="S4" s="210" t="s">
        <v>873</v>
      </c>
      <c r="T4" s="212"/>
      <c r="U4" s="212"/>
      <c r="V4" s="212"/>
      <c r="W4" s="212"/>
      <c r="X4" s="210" t="s">
        <v>880</v>
      </c>
      <c r="Y4" s="212"/>
      <c r="Z4" s="212"/>
      <c r="AA4" s="212"/>
      <c r="AB4" s="211"/>
      <c r="AC4" s="210" t="s">
        <v>55</v>
      </c>
      <c r="AD4" s="212"/>
      <c r="AE4" s="211"/>
      <c r="AF4" s="210" t="s">
        <v>55</v>
      </c>
      <c r="AG4" s="212"/>
      <c r="AH4" s="211"/>
    </row>
    <row r="5" spans="1:34" s="213" customFormat="1" x14ac:dyDescent="0.25">
      <c r="Q5" s="210" t="s">
        <v>56</v>
      </c>
      <c r="R5" s="211"/>
      <c r="S5" s="210" t="s">
        <v>56</v>
      </c>
      <c r="T5" s="212"/>
      <c r="U5" s="212"/>
      <c r="V5" s="212"/>
      <c r="W5" s="212"/>
      <c r="X5" s="210" t="s">
        <v>873</v>
      </c>
      <c r="Y5" s="212"/>
      <c r="Z5" s="212"/>
      <c r="AA5" s="212"/>
      <c r="AB5" s="211"/>
      <c r="AC5" s="210" t="s">
        <v>57</v>
      </c>
      <c r="AD5" s="212"/>
      <c r="AE5" s="211"/>
      <c r="AF5" s="210" t="s">
        <v>57</v>
      </c>
      <c r="AG5" s="212"/>
      <c r="AH5" s="211"/>
    </row>
    <row r="6" spans="1:34" x14ac:dyDescent="0.25">
      <c r="C6" s="213" t="s">
        <v>58</v>
      </c>
      <c r="D6" s="213" t="s">
        <v>59</v>
      </c>
      <c r="E6" s="213" t="s">
        <v>60</v>
      </c>
      <c r="Q6" s="210" t="s">
        <v>61</v>
      </c>
      <c r="R6" s="211"/>
      <c r="S6" s="210" t="s">
        <v>61</v>
      </c>
      <c r="T6" s="212"/>
      <c r="U6" s="212"/>
      <c r="V6" s="212"/>
      <c r="W6" s="212"/>
      <c r="X6" s="210" t="s">
        <v>53</v>
      </c>
      <c r="Y6" s="212"/>
      <c r="Z6" s="212"/>
      <c r="AA6" s="212"/>
      <c r="AB6" s="211"/>
      <c r="AC6" s="210" t="s">
        <v>62</v>
      </c>
      <c r="AD6" s="212"/>
      <c r="AE6" s="211"/>
      <c r="AF6" s="210" t="s">
        <v>62</v>
      </c>
      <c r="AG6" s="212"/>
      <c r="AH6" s="211"/>
    </row>
    <row r="7" spans="1:34" x14ac:dyDescent="0.25">
      <c r="C7">
        <v>2020</v>
      </c>
      <c r="D7" t="s">
        <v>63</v>
      </c>
      <c r="E7" t="s">
        <v>783</v>
      </c>
      <c r="Q7" s="210" t="s">
        <v>64</v>
      </c>
      <c r="R7" s="211"/>
      <c r="S7" s="210" t="s">
        <v>64</v>
      </c>
      <c r="T7" s="212"/>
      <c r="U7" s="212"/>
      <c r="V7" s="212"/>
      <c r="W7" s="212"/>
      <c r="X7" s="210" t="s">
        <v>55</v>
      </c>
      <c r="Y7" s="212"/>
      <c r="Z7" s="212"/>
      <c r="AA7" s="212"/>
      <c r="AB7" s="211"/>
      <c r="AC7" s="210" t="s">
        <v>65</v>
      </c>
      <c r="AD7" s="212"/>
      <c r="AE7" s="211"/>
      <c r="AF7" s="210" t="s">
        <v>65</v>
      </c>
      <c r="AG7" s="212"/>
      <c r="AH7" s="211"/>
    </row>
    <row r="8" spans="1:34" x14ac:dyDescent="0.25">
      <c r="C8">
        <v>2019</v>
      </c>
      <c r="D8" t="s">
        <v>778</v>
      </c>
      <c r="E8" t="s">
        <v>802</v>
      </c>
      <c r="Q8" s="210" t="s">
        <v>66</v>
      </c>
      <c r="R8" s="211"/>
      <c r="S8" s="210" t="s">
        <v>66</v>
      </c>
      <c r="T8" s="212"/>
      <c r="U8" s="212"/>
      <c r="V8" s="212"/>
      <c r="W8" s="212"/>
      <c r="X8" s="210" t="s">
        <v>57</v>
      </c>
      <c r="Y8" s="212"/>
      <c r="Z8" s="212"/>
      <c r="AA8" s="212"/>
      <c r="AB8" s="211"/>
      <c r="AC8" s="210" t="s">
        <v>67</v>
      </c>
      <c r="AD8" s="212"/>
      <c r="AE8" s="211"/>
      <c r="AF8" s="210" t="s">
        <v>67</v>
      </c>
      <c r="AG8" s="212"/>
      <c r="AH8" s="211"/>
    </row>
    <row r="9" spans="1:34" x14ac:dyDescent="0.25">
      <c r="C9">
        <v>2018</v>
      </c>
      <c r="D9" t="s">
        <v>779</v>
      </c>
      <c r="E9" t="s">
        <v>803</v>
      </c>
      <c r="Q9" s="210" t="s">
        <v>874</v>
      </c>
      <c r="R9" s="211"/>
      <c r="S9" s="210" t="s">
        <v>874</v>
      </c>
      <c r="T9" s="212"/>
      <c r="U9" s="212"/>
      <c r="V9" s="212"/>
      <c r="W9" s="212"/>
      <c r="X9" s="210" t="s">
        <v>62</v>
      </c>
      <c r="Y9" s="212"/>
      <c r="Z9" s="212"/>
      <c r="AA9" s="212"/>
      <c r="AB9" s="211"/>
      <c r="AC9" s="210" t="s">
        <v>68</v>
      </c>
      <c r="AD9" s="212"/>
      <c r="AE9" s="211"/>
      <c r="AF9" s="210" t="s">
        <v>68</v>
      </c>
      <c r="AG9" s="212"/>
      <c r="AH9" s="211"/>
    </row>
    <row r="10" spans="1:34" x14ac:dyDescent="0.25">
      <c r="C10">
        <v>2017</v>
      </c>
      <c r="D10" t="s">
        <v>69</v>
      </c>
      <c r="E10" t="s">
        <v>784</v>
      </c>
      <c r="Q10" s="210" t="s">
        <v>875</v>
      </c>
      <c r="R10" s="211"/>
      <c r="S10" s="210" t="s">
        <v>875</v>
      </c>
      <c r="T10" s="212"/>
      <c r="U10" s="212"/>
      <c r="V10" s="212"/>
      <c r="W10" s="212"/>
      <c r="X10" s="210" t="s">
        <v>65</v>
      </c>
      <c r="Y10" s="212"/>
      <c r="Z10" s="212"/>
      <c r="AA10" s="212"/>
      <c r="AB10" s="211"/>
      <c r="AC10" s="210" t="s">
        <v>70</v>
      </c>
      <c r="AD10" s="212"/>
      <c r="AE10" s="211"/>
      <c r="AF10" s="210" t="s">
        <v>70</v>
      </c>
      <c r="AG10" s="212"/>
      <c r="AH10" s="211"/>
    </row>
    <row r="11" spans="1:34" x14ac:dyDescent="0.25">
      <c r="C11">
        <v>2016</v>
      </c>
      <c r="D11" t="s">
        <v>780</v>
      </c>
      <c r="E11" t="s">
        <v>785</v>
      </c>
      <c r="Q11" s="210" t="s">
        <v>876</v>
      </c>
      <c r="R11" s="211"/>
      <c r="S11" s="210" t="s">
        <v>876</v>
      </c>
      <c r="T11" s="212"/>
      <c r="U11" s="212"/>
      <c r="V11" s="212"/>
      <c r="W11" s="212"/>
      <c r="X11" s="210" t="s">
        <v>67</v>
      </c>
      <c r="Y11" s="212"/>
      <c r="Z11" s="212"/>
      <c r="AA11" s="212"/>
      <c r="AB11" s="211"/>
      <c r="AC11" s="210" t="s">
        <v>71</v>
      </c>
      <c r="AD11" s="212"/>
      <c r="AE11" s="211"/>
      <c r="AF11" s="210" t="s">
        <v>71</v>
      </c>
      <c r="AG11" s="212"/>
      <c r="AH11" s="211"/>
    </row>
    <row r="12" spans="1:34" x14ac:dyDescent="0.25">
      <c r="C12">
        <v>2015</v>
      </c>
      <c r="D12" t="s">
        <v>781</v>
      </c>
      <c r="E12" t="s">
        <v>786</v>
      </c>
      <c r="Q12" s="210" t="s">
        <v>877</v>
      </c>
      <c r="R12" s="211"/>
      <c r="S12" s="210" t="s">
        <v>877</v>
      </c>
      <c r="T12" s="212"/>
      <c r="U12" s="212"/>
      <c r="V12" s="212"/>
      <c r="W12" s="212"/>
      <c r="X12" s="210" t="s">
        <v>68</v>
      </c>
      <c r="Y12" s="212"/>
      <c r="Z12" s="212"/>
      <c r="AA12" s="212"/>
      <c r="AB12" s="211"/>
      <c r="AC12" s="210" t="s">
        <v>873</v>
      </c>
      <c r="AD12" s="212"/>
      <c r="AE12" s="211"/>
      <c r="AF12" s="210" t="s">
        <v>873</v>
      </c>
      <c r="AG12" s="212"/>
      <c r="AH12" s="211"/>
    </row>
    <row r="13" spans="1:34" x14ac:dyDescent="0.25">
      <c r="C13">
        <v>2014</v>
      </c>
      <c r="D13" t="s">
        <v>1021</v>
      </c>
      <c r="E13" t="s">
        <v>787</v>
      </c>
      <c r="Q13" s="210" t="s">
        <v>878</v>
      </c>
      <c r="R13" s="211"/>
      <c r="S13" s="210" t="s">
        <v>878</v>
      </c>
      <c r="T13" s="212"/>
      <c r="U13" s="212"/>
      <c r="V13" s="212"/>
      <c r="W13" s="212"/>
      <c r="X13" s="210" t="s">
        <v>70</v>
      </c>
      <c r="Y13" s="212"/>
      <c r="Z13" s="212"/>
      <c r="AA13" s="212"/>
      <c r="AB13" s="211"/>
      <c r="AC13" s="210" t="s">
        <v>72</v>
      </c>
      <c r="AD13" s="212"/>
      <c r="AE13" s="211"/>
      <c r="AF13" s="210" t="s">
        <v>72</v>
      </c>
      <c r="AG13" s="212"/>
      <c r="AH13" s="211"/>
    </row>
    <row r="14" spans="1:34" x14ac:dyDescent="0.25">
      <c r="C14">
        <v>2013</v>
      </c>
      <c r="D14" t="s">
        <v>782</v>
      </c>
      <c r="E14" t="s">
        <v>788</v>
      </c>
      <c r="Q14" s="210" t="s">
        <v>879</v>
      </c>
      <c r="R14" s="211"/>
      <c r="S14" s="210" t="s">
        <v>879</v>
      </c>
      <c r="T14" s="212"/>
      <c r="U14" s="212"/>
      <c r="V14" s="212"/>
      <c r="W14" s="212"/>
      <c r="X14" s="210" t="s">
        <v>71</v>
      </c>
      <c r="Y14" s="212"/>
      <c r="Z14" s="212"/>
      <c r="AA14" s="212"/>
      <c r="AB14" s="211"/>
      <c r="AC14" s="210" t="s">
        <v>61</v>
      </c>
      <c r="AD14" s="212"/>
      <c r="AE14" s="211"/>
      <c r="AF14" s="210" t="s">
        <v>73</v>
      </c>
      <c r="AG14" s="212"/>
      <c r="AH14" s="211"/>
    </row>
    <row r="15" spans="1:34" x14ac:dyDescent="0.25">
      <c r="C15">
        <v>2012</v>
      </c>
      <c r="E15" t="s">
        <v>789</v>
      </c>
      <c r="Q15" s="210" t="s">
        <v>26</v>
      </c>
      <c r="R15" s="211"/>
      <c r="S15" s="210" t="s">
        <v>53</v>
      </c>
      <c r="T15" s="212"/>
      <c r="U15" s="212"/>
      <c r="V15" s="212"/>
      <c r="W15" s="212"/>
      <c r="X15" s="210" t="s">
        <v>72</v>
      </c>
      <c r="Y15" s="212"/>
      <c r="Z15" s="212"/>
      <c r="AA15" s="212"/>
      <c r="AB15" s="211"/>
      <c r="AC15" s="210" t="s">
        <v>64</v>
      </c>
      <c r="AD15" s="212"/>
      <c r="AE15" s="211"/>
      <c r="AF15" s="210" t="s">
        <v>74</v>
      </c>
      <c r="AG15" s="212"/>
      <c r="AH15" s="211"/>
    </row>
    <row r="16" spans="1:34" x14ac:dyDescent="0.25">
      <c r="C16">
        <v>2011</v>
      </c>
      <c r="E16" t="s">
        <v>790</v>
      </c>
      <c r="Q16" s="210" t="s">
        <v>880</v>
      </c>
      <c r="R16" s="211"/>
      <c r="S16" s="210" t="s">
        <v>55</v>
      </c>
      <c r="T16" s="212"/>
      <c r="U16" s="212"/>
      <c r="V16" s="212"/>
      <c r="W16" s="212"/>
      <c r="X16" s="210" t="s">
        <v>61</v>
      </c>
      <c r="Y16" s="212"/>
      <c r="Z16" s="212"/>
      <c r="AA16" s="212"/>
      <c r="AB16" s="211"/>
      <c r="AC16" s="210" t="s">
        <v>66</v>
      </c>
      <c r="AD16" s="212"/>
      <c r="AE16" s="211"/>
      <c r="AF16" s="210" t="s">
        <v>66</v>
      </c>
      <c r="AG16" s="212"/>
      <c r="AH16" s="211"/>
    </row>
    <row r="17" spans="3:34" x14ac:dyDescent="0.25">
      <c r="E17" t="s">
        <v>791</v>
      </c>
      <c r="Q17" s="210" t="s">
        <v>53</v>
      </c>
      <c r="R17" s="211"/>
      <c r="S17" s="210" t="s">
        <v>57</v>
      </c>
      <c r="T17" s="212"/>
      <c r="U17" s="212"/>
      <c r="V17" s="212"/>
      <c r="W17" s="212"/>
      <c r="X17" s="210" t="s">
        <v>64</v>
      </c>
      <c r="Y17" s="212"/>
      <c r="Z17" s="212"/>
      <c r="AA17" s="212"/>
      <c r="AB17" s="211"/>
      <c r="AC17" s="210" t="s">
        <v>75</v>
      </c>
      <c r="AD17" s="212"/>
      <c r="AE17" s="211"/>
      <c r="AF17" s="210" t="s">
        <v>75</v>
      </c>
      <c r="AG17" s="212"/>
      <c r="AH17" s="211"/>
    </row>
    <row r="18" spans="3:34" x14ac:dyDescent="0.25">
      <c r="E18" t="s">
        <v>792</v>
      </c>
      <c r="Q18" s="210" t="s">
        <v>55</v>
      </c>
      <c r="R18" s="211"/>
      <c r="S18" s="210" t="s">
        <v>62</v>
      </c>
      <c r="T18" s="212"/>
      <c r="U18" s="212"/>
      <c r="V18" s="212"/>
      <c r="W18" s="212"/>
      <c r="X18" s="210" t="s">
        <v>66</v>
      </c>
      <c r="Y18" s="212"/>
      <c r="Z18" s="212"/>
      <c r="AA18" s="212"/>
      <c r="AB18" s="211"/>
      <c r="AC18" s="210" t="s">
        <v>876</v>
      </c>
      <c r="AD18" s="212"/>
      <c r="AE18" s="211"/>
      <c r="AF18" s="210" t="s">
        <v>876</v>
      </c>
      <c r="AG18" s="212"/>
      <c r="AH18" s="211"/>
    </row>
    <row r="19" spans="3:34" x14ac:dyDescent="0.25">
      <c r="E19" t="s">
        <v>793</v>
      </c>
      <c r="Q19" s="210" t="s">
        <v>57</v>
      </c>
      <c r="R19" s="211"/>
      <c r="S19" s="210" t="s">
        <v>65</v>
      </c>
      <c r="T19" s="212"/>
      <c r="U19" s="212"/>
      <c r="V19" s="212"/>
      <c r="W19" s="212"/>
      <c r="X19" s="210" t="s">
        <v>75</v>
      </c>
      <c r="Y19" s="212"/>
      <c r="Z19" s="212"/>
      <c r="AA19" s="212"/>
      <c r="AB19" s="211"/>
      <c r="AC19" s="210"/>
      <c r="AD19" s="212"/>
      <c r="AE19" s="211"/>
      <c r="AF19" s="210"/>
      <c r="AG19" s="212"/>
      <c r="AH19" s="211"/>
    </row>
    <row r="20" spans="3:34" x14ac:dyDescent="0.25">
      <c r="E20" t="s">
        <v>794</v>
      </c>
      <c r="Q20" s="210" t="s">
        <v>62</v>
      </c>
      <c r="R20" s="211"/>
      <c r="S20" s="210" t="s">
        <v>67</v>
      </c>
      <c r="T20" s="212"/>
      <c r="U20" s="212"/>
      <c r="V20" s="212"/>
      <c r="W20" s="212"/>
      <c r="X20" s="210" t="s">
        <v>876</v>
      </c>
      <c r="Y20" s="212"/>
      <c r="Z20" s="212"/>
      <c r="AA20" s="212"/>
      <c r="AB20" s="211"/>
      <c r="AC20" s="210"/>
      <c r="AD20" s="212"/>
      <c r="AE20" s="211"/>
      <c r="AF20" s="210"/>
      <c r="AG20" s="212"/>
      <c r="AH20" s="211"/>
    </row>
    <row r="21" spans="3:34" x14ac:dyDescent="0.25">
      <c r="E21" t="s">
        <v>795</v>
      </c>
      <c r="Q21" s="210" t="s">
        <v>65</v>
      </c>
      <c r="R21" s="211"/>
      <c r="S21" s="210" t="s">
        <v>68</v>
      </c>
      <c r="T21" s="212"/>
      <c r="U21" s="212"/>
      <c r="V21" s="212"/>
      <c r="W21" s="212"/>
      <c r="X21" s="210"/>
      <c r="Y21" s="212"/>
      <c r="Z21" s="212"/>
      <c r="AA21" s="212"/>
      <c r="AB21" s="211"/>
      <c r="AC21" s="214" t="s">
        <v>76</v>
      </c>
      <c r="AD21" s="212"/>
      <c r="AE21" s="211"/>
      <c r="AF21" s="214" t="s">
        <v>76</v>
      </c>
      <c r="AG21" s="212"/>
      <c r="AH21" s="211"/>
    </row>
    <row r="22" spans="3:34" x14ac:dyDescent="0.25">
      <c r="E22" t="s">
        <v>796</v>
      </c>
      <c r="Q22" s="210" t="s">
        <v>67</v>
      </c>
      <c r="R22" s="211"/>
      <c r="S22" s="210" t="s">
        <v>70</v>
      </c>
      <c r="T22" s="212"/>
      <c r="U22" s="212"/>
      <c r="V22" s="212"/>
      <c r="W22" s="212"/>
      <c r="X22" s="210"/>
      <c r="Y22" s="212"/>
      <c r="Z22" s="212"/>
      <c r="AA22" s="212"/>
      <c r="AB22" s="211"/>
      <c r="AC22" s="215" t="s">
        <v>26</v>
      </c>
      <c r="AD22" s="212"/>
      <c r="AE22" s="211"/>
      <c r="AF22" s="215" t="s">
        <v>26</v>
      </c>
      <c r="AG22" s="212"/>
      <c r="AH22" s="211"/>
    </row>
    <row r="23" spans="3:34" x14ac:dyDescent="0.25">
      <c r="E23" t="s">
        <v>797</v>
      </c>
      <c r="Q23" s="210" t="s">
        <v>68</v>
      </c>
      <c r="R23" s="211"/>
      <c r="S23" s="210" t="s">
        <v>71</v>
      </c>
      <c r="T23" s="212"/>
      <c r="U23" s="212"/>
      <c r="V23" s="212"/>
      <c r="W23" s="212"/>
      <c r="X23" s="214" t="s">
        <v>77</v>
      </c>
      <c r="Y23" s="212"/>
      <c r="Z23" s="212"/>
      <c r="AA23" s="212"/>
      <c r="AB23" s="211"/>
      <c r="AC23" s="216" t="s">
        <v>880</v>
      </c>
      <c r="AD23" s="217"/>
      <c r="AE23" s="218"/>
      <c r="AF23" s="216" t="s">
        <v>880</v>
      </c>
      <c r="AG23" s="217"/>
      <c r="AH23" s="218"/>
    </row>
    <row r="24" spans="3:34" x14ac:dyDescent="0.25">
      <c r="C24" s="219"/>
      <c r="D24" s="219"/>
      <c r="E24" t="s">
        <v>798</v>
      </c>
      <c r="Q24" s="210" t="s">
        <v>70</v>
      </c>
      <c r="R24" s="211"/>
      <c r="S24" s="210"/>
      <c r="T24" s="212"/>
      <c r="U24" s="212"/>
      <c r="V24" s="212"/>
      <c r="W24" s="212"/>
      <c r="X24" s="215" t="s">
        <v>56</v>
      </c>
      <c r="Y24" s="212"/>
      <c r="Z24" s="212"/>
      <c r="AA24" s="212"/>
      <c r="AB24" s="211"/>
      <c r="AC24" s="220"/>
      <c r="AD24" s="220"/>
      <c r="AE24" s="220"/>
    </row>
    <row r="25" spans="3:34" x14ac:dyDescent="0.25">
      <c r="C25" s="219"/>
      <c r="D25" s="219"/>
      <c r="E25" t="s">
        <v>799</v>
      </c>
      <c r="Q25" s="210" t="s">
        <v>71</v>
      </c>
      <c r="R25" s="211"/>
      <c r="S25" s="210"/>
      <c r="T25" s="212"/>
      <c r="U25" s="212"/>
      <c r="V25" s="212"/>
      <c r="W25" s="212"/>
      <c r="X25" s="215" t="s">
        <v>872</v>
      </c>
      <c r="Y25" s="212"/>
      <c r="Z25" s="212"/>
      <c r="AA25" s="212"/>
      <c r="AB25" s="211"/>
      <c r="AC25" s="220"/>
      <c r="AD25" s="220"/>
      <c r="AE25" s="220"/>
    </row>
    <row r="26" spans="3:34" x14ac:dyDescent="0.25">
      <c r="C26" s="219"/>
      <c r="D26" s="219"/>
      <c r="E26" t="s">
        <v>800</v>
      </c>
      <c r="Q26" s="221"/>
      <c r="R26" s="222"/>
      <c r="S26" s="214" t="s">
        <v>76</v>
      </c>
      <c r="T26" s="212"/>
      <c r="U26" s="212"/>
      <c r="V26" s="212"/>
      <c r="W26" s="212"/>
      <c r="X26" s="215" t="s">
        <v>874</v>
      </c>
      <c r="Y26" s="212"/>
      <c r="Z26" s="212"/>
      <c r="AA26" s="223"/>
      <c r="AB26" s="222"/>
    </row>
    <row r="27" spans="3:34" x14ac:dyDescent="0.25">
      <c r="C27" s="219"/>
      <c r="D27" s="219"/>
      <c r="E27" t="s">
        <v>801</v>
      </c>
      <c r="Q27" s="221"/>
      <c r="R27" s="222"/>
      <c r="S27" s="215" t="s">
        <v>26</v>
      </c>
      <c r="T27" s="212"/>
      <c r="U27" s="212"/>
      <c r="V27" s="212"/>
      <c r="W27" s="212"/>
      <c r="X27" s="215" t="s">
        <v>875</v>
      </c>
      <c r="Y27" s="212"/>
      <c r="Z27" s="212"/>
      <c r="AA27" s="212"/>
      <c r="AB27" s="222"/>
    </row>
    <row r="28" spans="3:34" x14ac:dyDescent="0.25">
      <c r="C28" s="219"/>
      <c r="D28" s="219"/>
      <c r="Q28" s="214" t="s">
        <v>78</v>
      </c>
      <c r="R28" s="211"/>
      <c r="S28" s="216" t="s">
        <v>880</v>
      </c>
      <c r="T28" s="217"/>
      <c r="U28" s="217"/>
      <c r="V28" s="217"/>
      <c r="W28" s="217"/>
      <c r="X28" s="215" t="s">
        <v>877</v>
      </c>
      <c r="Y28" s="212"/>
      <c r="Z28" s="212"/>
      <c r="AA28" s="212"/>
      <c r="AB28" s="211"/>
      <c r="AC28" s="220"/>
    </row>
    <row r="29" spans="3:34" x14ac:dyDescent="0.25">
      <c r="C29" s="224" t="s">
        <v>79</v>
      </c>
      <c r="D29" s="219"/>
      <c r="Q29" s="215" t="s">
        <v>72</v>
      </c>
      <c r="R29" s="211"/>
      <c r="S29" s="220"/>
      <c r="T29" s="220"/>
      <c r="U29" s="220"/>
      <c r="V29" s="220"/>
      <c r="W29" s="220"/>
      <c r="X29" s="215" t="s">
        <v>878</v>
      </c>
      <c r="Y29" s="212"/>
      <c r="Z29" s="212"/>
      <c r="AA29" s="212"/>
      <c r="AB29" s="211"/>
      <c r="AC29" s="220"/>
      <c r="AD29" s="220"/>
      <c r="AE29" s="220"/>
    </row>
    <row r="30" spans="3:34" x14ac:dyDescent="0.25">
      <c r="C30" s="213">
        <v>2011</v>
      </c>
      <c r="D30" s="213">
        <v>2012</v>
      </c>
      <c r="E30" s="213">
        <v>2013</v>
      </c>
      <c r="F30" s="213">
        <v>2014</v>
      </c>
      <c r="G30" s="213">
        <v>2015</v>
      </c>
      <c r="H30" s="213">
        <v>2016</v>
      </c>
      <c r="I30" s="213">
        <v>2017</v>
      </c>
      <c r="J30" s="213">
        <v>2018</v>
      </c>
      <c r="K30" s="213">
        <v>2019</v>
      </c>
      <c r="L30" s="213">
        <v>2020</v>
      </c>
      <c r="Q30" s="216" t="s">
        <v>75</v>
      </c>
      <c r="R30" s="218"/>
      <c r="S30" s="220"/>
      <c r="T30" s="220"/>
      <c r="U30" s="220"/>
      <c r="V30" s="220"/>
      <c r="W30" s="220"/>
      <c r="X30" s="215" t="s">
        <v>879</v>
      </c>
      <c r="Y30" s="212"/>
      <c r="Z30" s="212"/>
      <c r="AA30" s="212"/>
      <c r="AB30" s="211"/>
      <c r="AC30" s="220"/>
      <c r="AD30" s="220"/>
      <c r="AE30" s="220"/>
    </row>
    <row r="31" spans="3:34" x14ac:dyDescent="0.25">
      <c r="C31" s="213" t="s">
        <v>80</v>
      </c>
      <c r="D31" s="213" t="s">
        <v>81</v>
      </c>
      <c r="E31" s="213" t="s">
        <v>82</v>
      </c>
      <c r="F31" s="213" t="s">
        <v>83</v>
      </c>
      <c r="G31" s="213" t="s">
        <v>84</v>
      </c>
      <c r="H31" s="213" t="s">
        <v>85</v>
      </c>
      <c r="I31" s="213" t="s">
        <v>86</v>
      </c>
      <c r="J31" s="213" t="s">
        <v>87</v>
      </c>
      <c r="K31" s="213" t="s">
        <v>88</v>
      </c>
      <c r="L31" s="225" t="s">
        <v>89</v>
      </c>
      <c r="Q31" s="220"/>
      <c r="R31" s="220"/>
      <c r="S31" s="220"/>
      <c r="T31" s="220"/>
      <c r="U31" s="220"/>
      <c r="V31" s="220"/>
      <c r="W31" s="220"/>
      <c r="X31" s="210"/>
      <c r="Y31" s="212"/>
      <c r="Z31" s="212"/>
      <c r="AA31" s="212"/>
      <c r="AB31" s="211"/>
      <c r="AC31" s="220"/>
      <c r="AD31" s="220"/>
      <c r="AE31" s="220"/>
    </row>
    <row r="32" spans="3:34" x14ac:dyDescent="0.25">
      <c r="C32" t="s">
        <v>881</v>
      </c>
      <c r="D32" t="s">
        <v>881</v>
      </c>
      <c r="E32" t="s">
        <v>881</v>
      </c>
      <c r="F32" t="s">
        <v>881</v>
      </c>
      <c r="G32" t="s">
        <v>881</v>
      </c>
      <c r="H32" t="s">
        <v>881</v>
      </c>
      <c r="I32" t="s">
        <v>881</v>
      </c>
      <c r="J32" t="s">
        <v>881</v>
      </c>
      <c r="K32" t="s">
        <v>881</v>
      </c>
      <c r="L32" t="s">
        <v>881</v>
      </c>
      <c r="Q32" s="220"/>
      <c r="R32" s="220"/>
      <c r="S32" s="220"/>
      <c r="T32" s="220"/>
      <c r="U32" s="220"/>
      <c r="V32" s="220"/>
      <c r="W32" s="220"/>
      <c r="X32" s="226" t="s">
        <v>90</v>
      </c>
      <c r="Y32" s="212"/>
      <c r="Z32" s="212"/>
      <c r="AA32" s="212"/>
      <c r="AB32" s="211"/>
      <c r="AC32" s="220"/>
      <c r="AD32" s="220"/>
      <c r="AE32" s="220"/>
    </row>
    <row r="33" spans="3:31" x14ac:dyDescent="0.25">
      <c r="C33" s="212" t="s">
        <v>872</v>
      </c>
      <c r="D33" s="212" t="s">
        <v>872</v>
      </c>
      <c r="E33" s="212" t="s">
        <v>872</v>
      </c>
      <c r="F33" s="212" t="s">
        <v>872</v>
      </c>
      <c r="G33" s="212" t="s">
        <v>872</v>
      </c>
      <c r="H33" s="212" t="s">
        <v>872</v>
      </c>
      <c r="I33" s="212" t="s">
        <v>872</v>
      </c>
      <c r="J33" s="212" t="s">
        <v>872</v>
      </c>
      <c r="K33" s="212" t="s">
        <v>872</v>
      </c>
      <c r="L33" s="212" t="s">
        <v>872</v>
      </c>
      <c r="Q33" s="220"/>
      <c r="R33" s="220"/>
      <c r="S33" s="220"/>
      <c r="T33" s="220"/>
      <c r="U33" s="220"/>
      <c r="V33" s="220"/>
      <c r="W33" s="220"/>
      <c r="X33" s="215" t="s">
        <v>72</v>
      </c>
      <c r="Y33" s="212"/>
      <c r="Z33" s="212"/>
      <c r="AA33" s="212"/>
      <c r="AB33" s="211"/>
      <c r="AC33" s="220"/>
      <c r="AD33" s="220"/>
      <c r="AE33" s="220"/>
    </row>
    <row r="34" spans="3:31" x14ac:dyDescent="0.25">
      <c r="C34" s="212" t="s">
        <v>873</v>
      </c>
      <c r="D34" s="212" t="s">
        <v>873</v>
      </c>
      <c r="E34" s="212" t="s">
        <v>873</v>
      </c>
      <c r="F34" s="212" t="s">
        <v>873</v>
      </c>
      <c r="G34" s="212" t="s">
        <v>873</v>
      </c>
      <c r="H34" s="212" t="s">
        <v>873</v>
      </c>
      <c r="I34" s="212" t="s">
        <v>873</v>
      </c>
      <c r="J34" s="212" t="s">
        <v>873</v>
      </c>
      <c r="K34" s="212" t="s">
        <v>873</v>
      </c>
      <c r="L34" s="212" t="s">
        <v>873</v>
      </c>
      <c r="Q34" s="220"/>
      <c r="R34" s="220"/>
      <c r="S34" s="220"/>
      <c r="T34" s="220"/>
      <c r="U34" s="220"/>
      <c r="V34" s="220"/>
      <c r="W34" s="220"/>
      <c r="X34" s="216" t="s">
        <v>75</v>
      </c>
      <c r="Y34" s="217"/>
      <c r="Z34" s="217"/>
      <c r="AA34" s="217"/>
      <c r="AB34" s="218"/>
      <c r="AC34" s="220"/>
      <c r="AD34" s="220"/>
      <c r="AE34" s="220"/>
    </row>
    <row r="35" spans="3:31" x14ac:dyDescent="0.25">
      <c r="C35" s="212" t="s">
        <v>56</v>
      </c>
      <c r="D35" s="212" t="s">
        <v>56</v>
      </c>
      <c r="E35" s="212" t="s">
        <v>56</v>
      </c>
      <c r="F35" s="212" t="s">
        <v>56</v>
      </c>
      <c r="G35" s="212" t="s">
        <v>56</v>
      </c>
      <c r="H35" s="212" t="s">
        <v>56</v>
      </c>
      <c r="I35" s="212" t="s">
        <v>56</v>
      </c>
      <c r="J35" s="212" t="s">
        <v>56</v>
      </c>
      <c r="K35" s="212" t="s">
        <v>56</v>
      </c>
      <c r="L35" s="212" t="s">
        <v>56</v>
      </c>
      <c r="AD35" s="220"/>
      <c r="AE35" s="220"/>
    </row>
    <row r="36" spans="3:31" x14ac:dyDescent="0.25">
      <c r="C36" s="212" t="s">
        <v>61</v>
      </c>
      <c r="D36" s="212" t="s">
        <v>61</v>
      </c>
      <c r="E36" s="212" t="s">
        <v>61</v>
      </c>
      <c r="F36" s="212" t="s">
        <v>61</v>
      </c>
      <c r="G36" s="212" t="s">
        <v>61</v>
      </c>
      <c r="H36" s="212" t="s">
        <v>61</v>
      </c>
      <c r="I36" s="212" t="s">
        <v>61</v>
      </c>
      <c r="J36" s="212" t="s">
        <v>61</v>
      </c>
      <c r="K36" s="212" t="s">
        <v>61</v>
      </c>
      <c r="L36" s="212" t="s">
        <v>61</v>
      </c>
    </row>
    <row r="37" spans="3:31" x14ac:dyDescent="0.25">
      <c r="C37" s="212" t="s">
        <v>64</v>
      </c>
      <c r="D37" s="212" t="s">
        <v>64</v>
      </c>
      <c r="E37" s="212" t="s">
        <v>64</v>
      </c>
      <c r="F37" s="212" t="s">
        <v>64</v>
      </c>
      <c r="G37" s="212" t="s">
        <v>64</v>
      </c>
      <c r="H37" s="212" t="s">
        <v>64</v>
      </c>
      <c r="I37" s="212" t="s">
        <v>64</v>
      </c>
      <c r="J37" s="212" t="s">
        <v>64</v>
      </c>
      <c r="K37" s="212" t="s">
        <v>64</v>
      </c>
      <c r="L37" s="212" t="s">
        <v>64</v>
      </c>
    </row>
    <row r="38" spans="3:31" x14ac:dyDescent="0.25">
      <c r="C38" s="212" t="s">
        <v>66</v>
      </c>
      <c r="D38" s="212" t="s">
        <v>66</v>
      </c>
      <c r="E38" s="212" t="s">
        <v>66</v>
      </c>
      <c r="F38" s="212" t="s">
        <v>66</v>
      </c>
      <c r="G38" s="212" t="s">
        <v>66</v>
      </c>
      <c r="H38" s="212" t="s">
        <v>66</v>
      </c>
      <c r="I38" s="212" t="s">
        <v>66</v>
      </c>
      <c r="J38" s="212" t="s">
        <v>66</v>
      </c>
      <c r="K38" s="212" t="s">
        <v>66</v>
      </c>
      <c r="L38" s="212" t="s">
        <v>66</v>
      </c>
    </row>
    <row r="39" spans="3:31" x14ac:dyDescent="0.25">
      <c r="C39" s="212" t="s">
        <v>874</v>
      </c>
      <c r="D39" s="212" t="s">
        <v>874</v>
      </c>
      <c r="E39" s="212" t="s">
        <v>874</v>
      </c>
      <c r="F39" s="212" t="s">
        <v>874</v>
      </c>
      <c r="G39" s="212" t="s">
        <v>874</v>
      </c>
      <c r="H39" s="212" t="s">
        <v>874</v>
      </c>
      <c r="I39" s="212" t="s">
        <v>874</v>
      </c>
      <c r="J39" s="212" t="s">
        <v>874</v>
      </c>
      <c r="K39" s="212" t="s">
        <v>874</v>
      </c>
      <c r="L39" s="212" t="s">
        <v>874</v>
      </c>
    </row>
    <row r="40" spans="3:31" x14ac:dyDescent="0.25">
      <c r="C40" s="212" t="s">
        <v>882</v>
      </c>
      <c r="D40" s="212" t="s">
        <v>882</v>
      </c>
      <c r="E40" s="212" t="s">
        <v>882</v>
      </c>
      <c r="F40" s="212" t="s">
        <v>882</v>
      </c>
      <c r="G40" s="212" t="s">
        <v>882</v>
      </c>
      <c r="H40" s="212" t="s">
        <v>882</v>
      </c>
      <c r="I40" s="212" t="s">
        <v>882</v>
      </c>
      <c r="J40" s="212" t="s">
        <v>882</v>
      </c>
      <c r="K40" s="212" t="s">
        <v>882</v>
      </c>
      <c r="L40" s="212" t="s">
        <v>882</v>
      </c>
    </row>
    <row r="41" spans="3:31" x14ac:dyDescent="0.25">
      <c r="C41" s="212" t="s">
        <v>876</v>
      </c>
      <c r="D41" s="212" t="s">
        <v>876</v>
      </c>
      <c r="E41" s="212" t="s">
        <v>876</v>
      </c>
      <c r="F41" s="212" t="s">
        <v>876</v>
      </c>
      <c r="G41" s="212" t="s">
        <v>876</v>
      </c>
      <c r="H41" s="212" t="s">
        <v>876</v>
      </c>
      <c r="I41" s="212" t="s">
        <v>876</v>
      </c>
      <c r="J41" s="212" t="s">
        <v>876</v>
      </c>
      <c r="K41" s="212" t="s">
        <v>876</v>
      </c>
      <c r="L41" s="212" t="s">
        <v>876</v>
      </c>
    </row>
    <row r="42" spans="3:31" x14ac:dyDescent="0.25">
      <c r="C42" s="212" t="s">
        <v>877</v>
      </c>
      <c r="D42" s="212" t="s">
        <v>877</v>
      </c>
      <c r="E42" s="212" t="s">
        <v>877</v>
      </c>
      <c r="F42" s="212" t="s">
        <v>877</v>
      </c>
      <c r="G42" s="212" t="s">
        <v>877</v>
      </c>
      <c r="H42" s="212" t="s">
        <v>877</v>
      </c>
      <c r="I42" s="212" t="s">
        <v>877</v>
      </c>
      <c r="J42" s="212" t="s">
        <v>877</v>
      </c>
      <c r="K42" s="212" t="s">
        <v>877</v>
      </c>
      <c r="L42" s="212" t="s">
        <v>877</v>
      </c>
    </row>
    <row r="43" spans="3:31" x14ac:dyDescent="0.25">
      <c r="C43" s="212" t="s">
        <v>883</v>
      </c>
      <c r="D43" s="212" t="s">
        <v>883</v>
      </c>
      <c r="E43" s="212" t="s">
        <v>883</v>
      </c>
      <c r="F43" s="212" t="s">
        <v>883</v>
      </c>
      <c r="G43" s="212" t="s">
        <v>883</v>
      </c>
      <c r="H43" s="212" t="s">
        <v>883</v>
      </c>
      <c r="I43" s="212" t="s">
        <v>883</v>
      </c>
      <c r="J43" s="212" t="s">
        <v>883</v>
      </c>
      <c r="K43" s="212" t="s">
        <v>878</v>
      </c>
      <c r="L43" s="212" t="s">
        <v>878</v>
      </c>
    </row>
    <row r="44" spans="3:31" x14ac:dyDescent="0.25">
      <c r="C44" s="212" t="s">
        <v>879</v>
      </c>
      <c r="D44" s="212" t="s">
        <v>879</v>
      </c>
      <c r="E44" s="212" t="s">
        <v>879</v>
      </c>
      <c r="F44" s="212" t="s">
        <v>879</v>
      </c>
      <c r="G44" s="212" t="s">
        <v>879</v>
      </c>
      <c r="H44" s="212" t="s">
        <v>879</v>
      </c>
      <c r="I44" s="212" t="s">
        <v>879</v>
      </c>
      <c r="J44" s="212" t="s">
        <v>879</v>
      </c>
      <c r="K44" s="212" t="s">
        <v>879</v>
      </c>
      <c r="L44" s="212" t="s">
        <v>879</v>
      </c>
    </row>
    <row r="45" spans="3:31" x14ac:dyDescent="0.25">
      <c r="C45" s="212" t="s">
        <v>26</v>
      </c>
      <c r="D45" s="212" t="s">
        <v>26</v>
      </c>
      <c r="E45" s="212" t="s">
        <v>26</v>
      </c>
      <c r="F45" s="212" t="s">
        <v>26</v>
      </c>
      <c r="G45" s="212" t="s">
        <v>26</v>
      </c>
      <c r="H45" s="212" t="s">
        <v>26</v>
      </c>
      <c r="I45" s="212" t="s">
        <v>26</v>
      </c>
      <c r="J45" s="212" t="s">
        <v>26</v>
      </c>
      <c r="K45" s="212" t="s">
        <v>25</v>
      </c>
      <c r="L45" s="212" t="s">
        <v>25</v>
      </c>
    </row>
    <row r="46" spans="3:31" x14ac:dyDescent="0.25">
      <c r="C46" s="212" t="s">
        <v>880</v>
      </c>
      <c r="D46" s="212" t="s">
        <v>880</v>
      </c>
      <c r="E46" s="212" t="s">
        <v>880</v>
      </c>
      <c r="F46" s="212" t="s">
        <v>880</v>
      </c>
      <c r="G46" s="212" t="s">
        <v>880</v>
      </c>
      <c r="H46" s="212" t="s">
        <v>880</v>
      </c>
      <c r="I46" s="212" t="s">
        <v>880</v>
      </c>
      <c r="J46" s="212" t="s">
        <v>880</v>
      </c>
      <c r="K46" s="212" t="s">
        <v>91</v>
      </c>
      <c r="L46" s="212" t="s">
        <v>91</v>
      </c>
    </row>
    <row r="47" spans="3:31" x14ac:dyDescent="0.25">
      <c r="C47" s="212" t="s">
        <v>25</v>
      </c>
      <c r="D47" s="212" t="s">
        <v>25</v>
      </c>
      <c r="E47" s="212" t="s">
        <v>25</v>
      </c>
      <c r="F47" s="212" t="s">
        <v>25</v>
      </c>
      <c r="G47" s="212" t="s">
        <v>25</v>
      </c>
      <c r="H47" s="212" t="s">
        <v>25</v>
      </c>
      <c r="I47" s="212" t="s">
        <v>25</v>
      </c>
      <c r="J47" s="212" t="s">
        <v>25</v>
      </c>
      <c r="K47" s="212" t="s">
        <v>57</v>
      </c>
      <c r="L47" s="212" t="s">
        <v>57</v>
      </c>
    </row>
    <row r="48" spans="3:31" x14ac:dyDescent="0.25">
      <c r="C48" s="212" t="s">
        <v>91</v>
      </c>
      <c r="D48" s="212" t="s">
        <v>91</v>
      </c>
      <c r="E48" s="212" t="s">
        <v>91</v>
      </c>
      <c r="F48" s="212" t="s">
        <v>91</v>
      </c>
      <c r="G48" s="212" t="s">
        <v>91</v>
      </c>
      <c r="H48" s="212" t="s">
        <v>91</v>
      </c>
      <c r="I48" s="212" t="s">
        <v>91</v>
      </c>
      <c r="J48" s="212" t="s">
        <v>91</v>
      </c>
      <c r="K48" s="212" t="s">
        <v>62</v>
      </c>
      <c r="L48" s="212" t="s">
        <v>62</v>
      </c>
    </row>
    <row r="49" spans="3:12" x14ac:dyDescent="0.25">
      <c r="C49" s="212" t="s">
        <v>57</v>
      </c>
      <c r="D49" s="212" t="s">
        <v>57</v>
      </c>
      <c r="E49" s="212" t="s">
        <v>57</v>
      </c>
      <c r="F49" s="212" t="s">
        <v>57</v>
      </c>
      <c r="G49" s="212" t="s">
        <v>57</v>
      </c>
      <c r="H49" s="212" t="s">
        <v>57</v>
      </c>
      <c r="I49" s="212" t="s">
        <v>57</v>
      </c>
      <c r="J49" s="212" t="s">
        <v>57</v>
      </c>
      <c r="K49" s="212" t="s">
        <v>65</v>
      </c>
      <c r="L49" s="212" t="s">
        <v>65</v>
      </c>
    </row>
    <row r="50" spans="3:12" x14ac:dyDescent="0.25">
      <c r="C50" s="212" t="s">
        <v>62</v>
      </c>
      <c r="D50" s="212" t="s">
        <v>62</v>
      </c>
      <c r="E50" s="212" t="s">
        <v>62</v>
      </c>
      <c r="F50" s="212" t="s">
        <v>62</v>
      </c>
      <c r="G50" s="212" t="s">
        <v>62</v>
      </c>
      <c r="H50" s="212" t="s">
        <v>62</v>
      </c>
      <c r="I50" s="212" t="s">
        <v>62</v>
      </c>
      <c r="J50" s="212" t="s">
        <v>62</v>
      </c>
      <c r="K50" s="212" t="s">
        <v>67</v>
      </c>
      <c r="L50" s="212" t="s">
        <v>67</v>
      </c>
    </row>
    <row r="51" spans="3:12" x14ac:dyDescent="0.25">
      <c r="C51" s="212" t="s">
        <v>65</v>
      </c>
      <c r="D51" s="212" t="s">
        <v>65</v>
      </c>
      <c r="E51" s="212" t="s">
        <v>65</v>
      </c>
      <c r="F51" s="212" t="s">
        <v>65</v>
      </c>
      <c r="G51" s="212" t="s">
        <v>65</v>
      </c>
      <c r="H51" s="212" t="s">
        <v>65</v>
      </c>
      <c r="I51" s="212" t="s">
        <v>65</v>
      </c>
      <c r="J51" s="212" t="s">
        <v>65</v>
      </c>
      <c r="K51" s="212" t="s">
        <v>68</v>
      </c>
      <c r="L51" s="212" t="s">
        <v>68</v>
      </c>
    </row>
    <row r="52" spans="3:12" x14ac:dyDescent="0.25">
      <c r="C52" s="212" t="s">
        <v>67</v>
      </c>
      <c r="D52" s="212" t="s">
        <v>67</v>
      </c>
      <c r="E52" s="212" t="s">
        <v>67</v>
      </c>
      <c r="F52" s="212" t="s">
        <v>67</v>
      </c>
      <c r="G52" s="212" t="s">
        <v>67</v>
      </c>
      <c r="H52" s="212" t="s">
        <v>67</v>
      </c>
      <c r="I52" s="212" t="s">
        <v>67</v>
      </c>
      <c r="J52" s="212" t="s">
        <v>67</v>
      </c>
      <c r="K52" s="212" t="s">
        <v>70</v>
      </c>
      <c r="L52" s="212" t="s">
        <v>70</v>
      </c>
    </row>
    <row r="53" spans="3:12" x14ac:dyDescent="0.25">
      <c r="C53" s="212" t="s">
        <v>68</v>
      </c>
      <c r="D53" s="212" t="s">
        <v>68</v>
      </c>
      <c r="E53" s="212" t="s">
        <v>68</v>
      </c>
      <c r="F53" s="212" t="s">
        <v>68</v>
      </c>
      <c r="G53" s="212" t="s">
        <v>68</v>
      </c>
      <c r="H53" s="212" t="s">
        <v>68</v>
      </c>
      <c r="I53" s="212" t="s">
        <v>68</v>
      </c>
      <c r="J53" s="212" t="s">
        <v>68</v>
      </c>
      <c r="K53" s="212" t="s">
        <v>71</v>
      </c>
      <c r="L53" s="212" t="s">
        <v>71</v>
      </c>
    </row>
    <row r="54" spans="3:12" x14ac:dyDescent="0.25">
      <c r="C54" s="212" t="s">
        <v>70</v>
      </c>
      <c r="D54" s="212" t="s">
        <v>70</v>
      </c>
      <c r="E54" s="212" t="s">
        <v>70</v>
      </c>
      <c r="F54" s="212" t="s">
        <v>70</v>
      </c>
      <c r="G54" s="212" t="s">
        <v>70</v>
      </c>
      <c r="H54" s="212" t="s">
        <v>70</v>
      </c>
      <c r="I54" s="212" t="s">
        <v>70</v>
      </c>
      <c r="J54" s="212" t="s">
        <v>70</v>
      </c>
      <c r="K54" s="227" t="s">
        <v>884</v>
      </c>
      <c r="L54" s="227" t="s">
        <v>884</v>
      </c>
    </row>
    <row r="55" spans="3:12" x14ac:dyDescent="0.25">
      <c r="C55" s="212" t="s">
        <v>71</v>
      </c>
      <c r="D55" s="212" t="s">
        <v>71</v>
      </c>
      <c r="E55" s="212" t="s">
        <v>71</v>
      </c>
      <c r="F55" s="212" t="s">
        <v>71</v>
      </c>
      <c r="G55" s="212" t="s">
        <v>71</v>
      </c>
      <c r="H55" s="212" t="s">
        <v>71</v>
      </c>
      <c r="I55" s="212" t="s">
        <v>71</v>
      </c>
      <c r="J55" s="212" t="s">
        <v>71</v>
      </c>
    </row>
    <row r="56" spans="3:12" x14ac:dyDescent="0.25">
      <c r="C56" s="227" t="s">
        <v>884</v>
      </c>
      <c r="D56" s="227" t="s">
        <v>884</v>
      </c>
      <c r="E56" s="227" t="s">
        <v>884</v>
      </c>
      <c r="F56" s="227" t="s">
        <v>884</v>
      </c>
      <c r="G56" s="227" t="s">
        <v>884</v>
      </c>
      <c r="H56" s="227" t="s">
        <v>884</v>
      </c>
      <c r="I56" s="227" t="s">
        <v>884</v>
      </c>
      <c r="J56" s="227" t="s">
        <v>884</v>
      </c>
    </row>
    <row r="59" spans="3:12" x14ac:dyDescent="0.25">
      <c r="C59" s="224" t="s">
        <v>79</v>
      </c>
    </row>
    <row r="60" spans="3:12" x14ac:dyDescent="0.25">
      <c r="C60" s="213">
        <v>2011</v>
      </c>
      <c r="D60" s="213">
        <v>2012</v>
      </c>
      <c r="E60" s="213">
        <v>2013</v>
      </c>
      <c r="F60" s="213">
        <v>2014</v>
      </c>
      <c r="G60" s="213">
        <v>2015</v>
      </c>
      <c r="H60" s="213">
        <v>2016</v>
      </c>
      <c r="I60" s="213">
        <v>2017</v>
      </c>
      <c r="J60" s="213">
        <v>2018</v>
      </c>
      <c r="K60" s="213">
        <v>2019</v>
      </c>
      <c r="L60" s="213">
        <v>2020</v>
      </c>
    </row>
    <row r="61" spans="3:12" x14ac:dyDescent="0.25">
      <c r="C61" s="213" t="s">
        <v>92</v>
      </c>
      <c r="D61" s="213" t="s">
        <v>93</v>
      </c>
      <c r="E61" s="213" t="s">
        <v>94</v>
      </c>
      <c r="F61" s="213" t="s">
        <v>95</v>
      </c>
      <c r="G61" s="213" t="s">
        <v>96</v>
      </c>
      <c r="H61" s="213" t="s">
        <v>97</v>
      </c>
      <c r="I61" s="213" t="s">
        <v>98</v>
      </c>
      <c r="J61" s="213" t="s">
        <v>99</v>
      </c>
      <c r="K61" s="213" t="s">
        <v>100</v>
      </c>
      <c r="L61" s="225" t="s">
        <v>101</v>
      </c>
    </row>
    <row r="62" spans="3:12" x14ac:dyDescent="0.25">
      <c r="C62" t="s">
        <v>26</v>
      </c>
      <c r="D62" t="s">
        <v>26</v>
      </c>
      <c r="E62" t="s">
        <v>26</v>
      </c>
      <c r="F62" t="s">
        <v>26</v>
      </c>
      <c r="G62" t="s">
        <v>26</v>
      </c>
      <c r="H62" t="s">
        <v>26</v>
      </c>
      <c r="I62" t="s">
        <v>26</v>
      </c>
      <c r="J62" t="s">
        <v>26</v>
      </c>
      <c r="K62" t="s">
        <v>25</v>
      </c>
      <c r="L62" t="s">
        <v>25</v>
      </c>
    </row>
    <row r="63" spans="3:12" x14ac:dyDescent="0.25">
      <c r="C63" t="s">
        <v>880</v>
      </c>
      <c r="D63" t="s">
        <v>880</v>
      </c>
      <c r="E63" t="s">
        <v>880</v>
      </c>
      <c r="F63" t="s">
        <v>880</v>
      </c>
      <c r="G63" t="s">
        <v>880</v>
      </c>
      <c r="H63" t="s">
        <v>880</v>
      </c>
      <c r="I63" t="s">
        <v>880</v>
      </c>
      <c r="J63" t="s">
        <v>880</v>
      </c>
      <c r="K63" t="s">
        <v>91</v>
      </c>
      <c r="L63" t="s">
        <v>91</v>
      </c>
    </row>
    <row r="64" spans="3:12" x14ac:dyDescent="0.25">
      <c r="C64" t="s">
        <v>873</v>
      </c>
      <c r="D64" t="s">
        <v>873</v>
      </c>
      <c r="E64" t="s">
        <v>873</v>
      </c>
      <c r="F64" t="s">
        <v>873</v>
      </c>
      <c r="G64" t="s">
        <v>873</v>
      </c>
      <c r="H64" t="s">
        <v>873</v>
      </c>
      <c r="I64" t="s">
        <v>873</v>
      </c>
      <c r="J64" t="s">
        <v>873</v>
      </c>
      <c r="K64" t="s">
        <v>57</v>
      </c>
      <c r="L64" t="s">
        <v>57</v>
      </c>
    </row>
    <row r="65" spans="3:12" x14ac:dyDescent="0.25">
      <c r="C65" t="s">
        <v>25</v>
      </c>
      <c r="D65" t="s">
        <v>25</v>
      </c>
      <c r="E65" t="s">
        <v>25</v>
      </c>
      <c r="F65" t="s">
        <v>25</v>
      </c>
      <c r="G65" t="s">
        <v>25</v>
      </c>
      <c r="H65" t="s">
        <v>25</v>
      </c>
      <c r="I65" t="s">
        <v>25</v>
      </c>
      <c r="J65" t="s">
        <v>25</v>
      </c>
      <c r="K65" t="s">
        <v>62</v>
      </c>
      <c r="L65" t="s">
        <v>62</v>
      </c>
    </row>
    <row r="66" spans="3:12" x14ac:dyDescent="0.25">
      <c r="C66" t="s">
        <v>91</v>
      </c>
      <c r="D66" t="s">
        <v>91</v>
      </c>
      <c r="E66" t="s">
        <v>91</v>
      </c>
      <c r="F66" t="s">
        <v>91</v>
      </c>
      <c r="G66" t="s">
        <v>91</v>
      </c>
      <c r="H66" t="s">
        <v>91</v>
      </c>
      <c r="I66" t="s">
        <v>91</v>
      </c>
      <c r="J66" t="s">
        <v>91</v>
      </c>
      <c r="K66" t="s">
        <v>65</v>
      </c>
      <c r="L66" t="s">
        <v>65</v>
      </c>
    </row>
    <row r="67" spans="3:12" x14ac:dyDescent="0.25">
      <c r="C67" t="s">
        <v>57</v>
      </c>
      <c r="D67" t="s">
        <v>57</v>
      </c>
      <c r="E67" t="s">
        <v>57</v>
      </c>
      <c r="F67" t="s">
        <v>57</v>
      </c>
      <c r="G67" t="s">
        <v>57</v>
      </c>
      <c r="H67" t="s">
        <v>57</v>
      </c>
      <c r="I67" t="s">
        <v>57</v>
      </c>
      <c r="J67" t="s">
        <v>57</v>
      </c>
      <c r="K67" t="s">
        <v>67</v>
      </c>
      <c r="L67" t="s">
        <v>67</v>
      </c>
    </row>
    <row r="68" spans="3:12" x14ac:dyDescent="0.25">
      <c r="C68" t="s">
        <v>62</v>
      </c>
      <c r="D68" t="s">
        <v>62</v>
      </c>
      <c r="E68" t="s">
        <v>62</v>
      </c>
      <c r="F68" t="s">
        <v>62</v>
      </c>
      <c r="G68" t="s">
        <v>62</v>
      </c>
      <c r="H68" t="s">
        <v>62</v>
      </c>
      <c r="I68" t="s">
        <v>62</v>
      </c>
      <c r="J68" t="s">
        <v>62</v>
      </c>
      <c r="K68" t="s">
        <v>68</v>
      </c>
      <c r="L68" t="s">
        <v>68</v>
      </c>
    </row>
    <row r="69" spans="3:12" x14ac:dyDescent="0.25">
      <c r="C69" t="s">
        <v>65</v>
      </c>
      <c r="D69" t="s">
        <v>65</v>
      </c>
      <c r="E69" t="s">
        <v>65</v>
      </c>
      <c r="F69" t="s">
        <v>65</v>
      </c>
      <c r="G69" t="s">
        <v>65</v>
      </c>
      <c r="H69" t="s">
        <v>65</v>
      </c>
      <c r="I69" t="s">
        <v>65</v>
      </c>
      <c r="J69" t="s">
        <v>65</v>
      </c>
      <c r="K69" t="s">
        <v>70</v>
      </c>
      <c r="L69" t="s">
        <v>70</v>
      </c>
    </row>
    <row r="70" spans="3:12" x14ac:dyDescent="0.25">
      <c r="C70" t="s">
        <v>67</v>
      </c>
      <c r="D70" t="s">
        <v>67</v>
      </c>
      <c r="E70" t="s">
        <v>67</v>
      </c>
      <c r="F70" t="s">
        <v>67</v>
      </c>
      <c r="G70" t="s">
        <v>67</v>
      </c>
      <c r="H70" t="s">
        <v>67</v>
      </c>
      <c r="I70" t="s">
        <v>67</v>
      </c>
      <c r="J70" t="s">
        <v>67</v>
      </c>
      <c r="K70" t="s">
        <v>71</v>
      </c>
      <c r="L70" t="s">
        <v>71</v>
      </c>
    </row>
    <row r="71" spans="3:12" x14ac:dyDescent="0.25">
      <c r="C71" t="s">
        <v>68</v>
      </c>
      <c r="D71" t="s">
        <v>68</v>
      </c>
      <c r="E71" t="s">
        <v>68</v>
      </c>
      <c r="F71" t="s">
        <v>68</v>
      </c>
      <c r="G71" t="s">
        <v>68</v>
      </c>
      <c r="H71" t="s">
        <v>68</v>
      </c>
      <c r="I71" t="s">
        <v>68</v>
      </c>
      <c r="J71" t="s">
        <v>68</v>
      </c>
      <c r="K71" t="s">
        <v>873</v>
      </c>
      <c r="L71" t="s">
        <v>873</v>
      </c>
    </row>
    <row r="72" spans="3:12" x14ac:dyDescent="0.25">
      <c r="C72" t="s">
        <v>70</v>
      </c>
      <c r="D72" t="s">
        <v>70</v>
      </c>
      <c r="E72" t="s">
        <v>70</v>
      </c>
      <c r="F72" t="s">
        <v>70</v>
      </c>
      <c r="G72" t="s">
        <v>70</v>
      </c>
      <c r="H72" t="s">
        <v>70</v>
      </c>
      <c r="I72" t="s">
        <v>70</v>
      </c>
      <c r="J72" t="s">
        <v>70</v>
      </c>
      <c r="K72" t="s">
        <v>72</v>
      </c>
      <c r="L72" t="s">
        <v>72</v>
      </c>
    </row>
    <row r="73" spans="3:12" x14ac:dyDescent="0.25">
      <c r="C73" t="s">
        <v>71</v>
      </c>
      <c r="D73" t="s">
        <v>71</v>
      </c>
      <c r="E73" t="s">
        <v>71</v>
      </c>
      <c r="F73" t="s">
        <v>71</v>
      </c>
      <c r="G73" t="s">
        <v>71</v>
      </c>
      <c r="H73" t="s">
        <v>71</v>
      </c>
      <c r="I73" t="s">
        <v>71</v>
      </c>
      <c r="J73" t="s">
        <v>71</v>
      </c>
      <c r="K73" t="s">
        <v>102</v>
      </c>
      <c r="L73" t="s">
        <v>102</v>
      </c>
    </row>
    <row r="74" spans="3:12" x14ac:dyDescent="0.25">
      <c r="C74" t="s">
        <v>72</v>
      </c>
      <c r="D74" t="s">
        <v>72</v>
      </c>
      <c r="E74" t="s">
        <v>72</v>
      </c>
      <c r="F74" t="s">
        <v>72</v>
      </c>
      <c r="G74" t="s">
        <v>72</v>
      </c>
      <c r="H74" t="s">
        <v>72</v>
      </c>
      <c r="I74" t="s">
        <v>72</v>
      </c>
      <c r="J74" t="s">
        <v>72</v>
      </c>
      <c r="K74" t="s">
        <v>74</v>
      </c>
      <c r="L74" t="s">
        <v>74</v>
      </c>
    </row>
    <row r="75" spans="3:12" x14ac:dyDescent="0.25">
      <c r="C75" t="s">
        <v>102</v>
      </c>
      <c r="D75" t="s">
        <v>102</v>
      </c>
      <c r="E75" t="s">
        <v>102</v>
      </c>
      <c r="F75" t="s">
        <v>102</v>
      </c>
      <c r="G75" t="s">
        <v>102</v>
      </c>
      <c r="H75" t="s">
        <v>102</v>
      </c>
      <c r="I75" t="s">
        <v>102</v>
      </c>
      <c r="J75" t="s">
        <v>102</v>
      </c>
      <c r="K75" t="s">
        <v>66</v>
      </c>
      <c r="L75" t="s">
        <v>66</v>
      </c>
    </row>
    <row r="76" spans="3:12" x14ac:dyDescent="0.25">
      <c r="C76" t="s">
        <v>74</v>
      </c>
      <c r="D76" t="s">
        <v>74</v>
      </c>
      <c r="E76" t="s">
        <v>74</v>
      </c>
      <c r="F76" t="s">
        <v>74</v>
      </c>
      <c r="G76" t="s">
        <v>74</v>
      </c>
      <c r="H76" t="s">
        <v>74</v>
      </c>
      <c r="I76" t="s">
        <v>74</v>
      </c>
      <c r="J76" t="s">
        <v>74</v>
      </c>
      <c r="K76" t="s">
        <v>75</v>
      </c>
      <c r="L76" t="s">
        <v>75</v>
      </c>
    </row>
    <row r="77" spans="3:12" x14ac:dyDescent="0.25">
      <c r="C77" t="s">
        <v>66</v>
      </c>
      <c r="D77" t="s">
        <v>66</v>
      </c>
      <c r="E77" t="s">
        <v>66</v>
      </c>
      <c r="F77" t="s">
        <v>66</v>
      </c>
      <c r="G77" t="s">
        <v>66</v>
      </c>
      <c r="H77" t="s">
        <v>66</v>
      </c>
      <c r="I77" t="s">
        <v>66</v>
      </c>
      <c r="J77" t="s">
        <v>66</v>
      </c>
      <c r="K77" t="s">
        <v>876</v>
      </c>
      <c r="L77" t="s">
        <v>876</v>
      </c>
    </row>
    <row r="78" spans="3:12" x14ac:dyDescent="0.25">
      <c r="C78" t="s">
        <v>75</v>
      </c>
      <c r="D78" t="s">
        <v>75</v>
      </c>
      <c r="E78" t="s">
        <v>75</v>
      </c>
      <c r="F78" t="s">
        <v>75</v>
      </c>
      <c r="G78" t="s">
        <v>75</v>
      </c>
      <c r="H78" t="s">
        <v>75</v>
      </c>
      <c r="I78" t="s">
        <v>75</v>
      </c>
      <c r="J78" t="s">
        <v>75</v>
      </c>
      <c r="K78" t="s">
        <v>884</v>
      </c>
      <c r="L78" t="s">
        <v>884</v>
      </c>
    </row>
    <row r="79" spans="3:12" x14ac:dyDescent="0.25">
      <c r="C79" t="s">
        <v>876</v>
      </c>
      <c r="D79" t="s">
        <v>876</v>
      </c>
      <c r="E79" t="s">
        <v>876</v>
      </c>
      <c r="F79" t="s">
        <v>876</v>
      </c>
      <c r="G79" t="s">
        <v>876</v>
      </c>
      <c r="H79" t="s">
        <v>876</v>
      </c>
      <c r="I79" t="s">
        <v>876</v>
      </c>
      <c r="J79" t="s">
        <v>876</v>
      </c>
    </row>
    <row r="80" spans="3:12" x14ac:dyDescent="0.25">
      <c r="C80" t="s">
        <v>884</v>
      </c>
      <c r="D80" t="s">
        <v>884</v>
      </c>
      <c r="E80" t="s">
        <v>884</v>
      </c>
      <c r="F80" t="s">
        <v>884</v>
      </c>
      <c r="G80" t="s">
        <v>884</v>
      </c>
      <c r="H80" t="s">
        <v>884</v>
      </c>
      <c r="I80" t="s">
        <v>884</v>
      </c>
      <c r="J80" t="s">
        <v>884</v>
      </c>
    </row>
    <row r="81" spans="3:13" x14ac:dyDescent="0.25">
      <c r="D81" s="219"/>
    </row>
    <row r="82" spans="3:13" ht="15" customHeight="1" x14ac:dyDescent="0.25">
      <c r="C82" s="547" t="s">
        <v>103</v>
      </c>
      <c r="D82" s="548" t="s">
        <v>104</v>
      </c>
      <c r="E82" s="548"/>
      <c r="F82" s="548"/>
      <c r="G82" s="548"/>
      <c r="H82" s="548"/>
      <c r="I82" s="548"/>
      <c r="J82" s="548"/>
      <c r="K82" s="548"/>
      <c r="L82" s="548"/>
      <c r="M82" s="548"/>
    </row>
    <row r="83" spans="3:13" x14ac:dyDescent="0.25">
      <c r="C83" s="547"/>
      <c r="D83" s="228">
        <v>2011</v>
      </c>
      <c r="E83" s="228">
        <v>2012</v>
      </c>
      <c r="F83" s="228">
        <v>2013</v>
      </c>
      <c r="G83" s="228">
        <v>2014</v>
      </c>
      <c r="H83" s="228">
        <v>2015</v>
      </c>
      <c r="I83" s="228">
        <v>2016</v>
      </c>
      <c r="J83" s="228">
        <v>2017</v>
      </c>
      <c r="K83" s="228">
        <v>2018</v>
      </c>
      <c r="L83" s="228">
        <v>2019</v>
      </c>
      <c r="M83" s="228">
        <v>2020</v>
      </c>
    </row>
    <row r="84" spans="3:13" x14ac:dyDescent="0.25">
      <c r="C84" s="229" t="s">
        <v>105</v>
      </c>
      <c r="D84" s="230">
        <v>2.2050000000000001</v>
      </c>
      <c r="E84" s="231">
        <v>2.2010000000000001</v>
      </c>
      <c r="F84" s="231">
        <v>2.2050000000000001</v>
      </c>
      <c r="G84" s="231">
        <v>2.2050000000000001</v>
      </c>
      <c r="H84" s="231">
        <v>2.2050000000000001</v>
      </c>
      <c r="I84" s="231">
        <v>2.1960000000000002</v>
      </c>
      <c r="J84" s="231">
        <v>2.1800000000000002</v>
      </c>
      <c r="K84" s="231">
        <v>2.157</v>
      </c>
      <c r="L84" s="231" t="s">
        <v>106</v>
      </c>
      <c r="M84" s="231" t="s">
        <v>106</v>
      </c>
    </row>
    <row r="85" spans="3:13" x14ac:dyDescent="0.25">
      <c r="C85" s="229" t="s">
        <v>885</v>
      </c>
      <c r="D85" s="230">
        <v>2.4929999999999999</v>
      </c>
      <c r="E85" s="231">
        <v>2.4670000000000001</v>
      </c>
      <c r="F85" s="231">
        <v>2.544</v>
      </c>
      <c r="G85" s="231">
        <v>2.544</v>
      </c>
      <c r="H85" s="231">
        <v>2.544</v>
      </c>
      <c r="I85" s="231">
        <v>2.5390000000000001</v>
      </c>
      <c r="J85" s="231">
        <v>2.52</v>
      </c>
      <c r="K85" s="231">
        <v>2.4929999999999999</v>
      </c>
      <c r="L85" s="231" t="s">
        <v>106</v>
      </c>
      <c r="M85" s="231" t="s">
        <v>106</v>
      </c>
    </row>
    <row r="86" spans="3:13" x14ac:dyDescent="0.25">
      <c r="C86" s="229" t="s">
        <v>873</v>
      </c>
      <c r="D86" s="230">
        <v>2.7080000000000002</v>
      </c>
      <c r="E86" s="231">
        <v>2.7080000000000002</v>
      </c>
      <c r="F86" s="231">
        <v>2.7080000000000002</v>
      </c>
      <c r="G86" s="231">
        <v>2.7080000000000002</v>
      </c>
      <c r="H86" s="231">
        <v>2.7080000000000002</v>
      </c>
      <c r="I86" s="231">
        <v>2.7080000000000002</v>
      </c>
      <c r="J86" s="231">
        <v>2.7080000000000002</v>
      </c>
      <c r="K86" s="231">
        <v>2.7080000000000002</v>
      </c>
      <c r="L86" s="231">
        <v>2.7080000000000002</v>
      </c>
      <c r="M86" s="231">
        <v>2.6859999999999999</v>
      </c>
    </row>
    <row r="87" spans="3:13" x14ac:dyDescent="0.25">
      <c r="C87" s="229" t="s">
        <v>886</v>
      </c>
      <c r="D87" s="230">
        <v>2.8679999999999999</v>
      </c>
      <c r="E87" s="231">
        <v>2.8679999999999999</v>
      </c>
      <c r="F87" s="231">
        <v>2.8679999999999999</v>
      </c>
      <c r="G87" s="231">
        <v>2.8679999999999999</v>
      </c>
      <c r="H87" s="231">
        <v>2.8679999999999999</v>
      </c>
      <c r="I87" s="231">
        <v>2.8679999999999999</v>
      </c>
      <c r="J87" s="231">
        <v>2.8679999999999999</v>
      </c>
      <c r="K87" s="231">
        <v>2.8679999999999999</v>
      </c>
      <c r="L87" s="231">
        <v>2.8679999999999999</v>
      </c>
      <c r="M87" s="231">
        <v>2.8679999999999999</v>
      </c>
    </row>
    <row r="88" spans="3:13" x14ac:dyDescent="0.25">
      <c r="C88" s="229" t="s">
        <v>107</v>
      </c>
      <c r="D88" s="230">
        <v>2.1800000000000002</v>
      </c>
      <c r="E88" s="231">
        <v>2.1800000000000002</v>
      </c>
      <c r="F88" s="231">
        <v>2.1800000000000002</v>
      </c>
      <c r="G88" s="231">
        <v>2.1800000000000002</v>
      </c>
      <c r="H88" s="231">
        <v>2.1800000000000002</v>
      </c>
      <c r="I88" s="231">
        <v>2.1800000000000002</v>
      </c>
      <c r="J88" s="231">
        <v>2.1800000000000002</v>
      </c>
      <c r="K88" s="231">
        <v>2.1800000000000002</v>
      </c>
      <c r="L88" s="231">
        <v>2.1800000000000002</v>
      </c>
      <c r="M88" s="231">
        <v>2.2440000000000002</v>
      </c>
    </row>
    <row r="89" spans="3:13" x14ac:dyDescent="0.25">
      <c r="C89" s="229" t="s">
        <v>108</v>
      </c>
      <c r="D89" s="230">
        <v>2.0649999999999999</v>
      </c>
      <c r="E89" s="231">
        <v>2.0649999999999999</v>
      </c>
      <c r="F89" s="231">
        <v>2.0649999999999999</v>
      </c>
      <c r="G89" s="231">
        <v>2.0649999999999999</v>
      </c>
      <c r="H89" s="231">
        <v>2.0649999999999999</v>
      </c>
      <c r="I89" s="231">
        <v>2.0649999999999999</v>
      </c>
      <c r="J89" s="231">
        <v>2.0649999999999999</v>
      </c>
      <c r="K89" s="231">
        <v>2.0649999999999999</v>
      </c>
      <c r="L89" s="231">
        <v>2.0649999999999999</v>
      </c>
      <c r="M89" s="231">
        <v>2.125</v>
      </c>
    </row>
    <row r="90" spans="3:13" x14ac:dyDescent="0.25">
      <c r="C90" s="229" t="s">
        <v>109</v>
      </c>
      <c r="D90" s="230">
        <v>0.34399999999999997</v>
      </c>
      <c r="E90" s="231">
        <v>0.34399999999999997</v>
      </c>
      <c r="F90" s="231">
        <v>0.34399999999999997</v>
      </c>
      <c r="G90" s="231">
        <v>0.34399999999999997</v>
      </c>
      <c r="H90" s="231">
        <v>0.34399999999999997</v>
      </c>
      <c r="I90" s="231">
        <v>0.34399999999999997</v>
      </c>
      <c r="J90" s="231">
        <v>0.34399999999999997</v>
      </c>
      <c r="K90" s="231">
        <v>0.34399999999999997</v>
      </c>
      <c r="L90" s="231">
        <v>0.34399999999999997</v>
      </c>
      <c r="M90" s="231">
        <v>0.35399999999999998</v>
      </c>
    </row>
    <row r="91" spans="3:13" x14ac:dyDescent="0.25">
      <c r="C91" s="229" t="s">
        <v>110</v>
      </c>
      <c r="D91" s="230">
        <v>0</v>
      </c>
      <c r="E91" s="231">
        <v>0</v>
      </c>
      <c r="F91" s="231">
        <v>0</v>
      </c>
      <c r="G91" s="231">
        <v>0</v>
      </c>
      <c r="H91" s="231">
        <v>0</v>
      </c>
      <c r="I91" s="231">
        <v>0</v>
      </c>
      <c r="J91" s="231">
        <v>0</v>
      </c>
      <c r="K91" s="231">
        <v>0</v>
      </c>
      <c r="L91" s="231">
        <v>0</v>
      </c>
      <c r="M91" s="231">
        <v>0</v>
      </c>
    </row>
    <row r="92" spans="3:13" x14ac:dyDescent="0.25">
      <c r="C92" s="229" t="s">
        <v>111</v>
      </c>
      <c r="D92" s="230">
        <v>2.4670000000000001</v>
      </c>
      <c r="E92" s="231">
        <v>2.4670000000000001</v>
      </c>
      <c r="F92" s="231">
        <v>2.4670000000000001</v>
      </c>
      <c r="G92" s="231">
        <v>2.4670000000000001</v>
      </c>
      <c r="H92" s="231">
        <v>2.4670000000000001</v>
      </c>
      <c r="I92" s="231">
        <v>2.4670000000000001</v>
      </c>
      <c r="J92" s="231">
        <v>2.4670000000000001</v>
      </c>
      <c r="K92" s="231">
        <v>2.4670000000000001</v>
      </c>
      <c r="L92" s="231">
        <v>2.4670000000000001</v>
      </c>
      <c r="M92" s="231">
        <v>2.456</v>
      </c>
    </row>
    <row r="93" spans="3:13" x14ac:dyDescent="0.25">
      <c r="C93" s="229" t="s">
        <v>112</v>
      </c>
      <c r="D93" s="230">
        <v>2.387</v>
      </c>
      <c r="E93" s="231">
        <v>2.387</v>
      </c>
      <c r="F93" s="231">
        <v>2.387</v>
      </c>
      <c r="G93" s="231">
        <v>2.387</v>
      </c>
      <c r="H93" s="231">
        <v>2.387</v>
      </c>
      <c r="I93" s="231">
        <v>2.387</v>
      </c>
      <c r="J93" s="231">
        <v>2.387</v>
      </c>
      <c r="K93" s="231">
        <v>2.387</v>
      </c>
      <c r="L93" s="231">
        <v>2.387</v>
      </c>
      <c r="M93" s="231">
        <v>2.3769999999999998</v>
      </c>
    </row>
    <row r="94" spans="3:13" x14ac:dyDescent="0.25">
      <c r="C94" s="229" t="s">
        <v>113</v>
      </c>
      <c r="D94" s="230">
        <v>2.1219999999999999</v>
      </c>
      <c r="E94" s="231">
        <v>2.1219999999999999</v>
      </c>
      <c r="F94" s="231">
        <v>2.1219999999999999</v>
      </c>
      <c r="G94" s="231">
        <v>2.1219999999999999</v>
      </c>
      <c r="H94" s="231">
        <v>2.1219999999999999</v>
      </c>
      <c r="I94" s="231">
        <v>2.1219999999999999</v>
      </c>
      <c r="J94" s="231">
        <v>2.1219999999999999</v>
      </c>
      <c r="K94" s="231">
        <v>2.1219999999999999</v>
      </c>
      <c r="L94" s="231">
        <v>2.1219999999999999</v>
      </c>
      <c r="M94" s="231">
        <v>2.113</v>
      </c>
    </row>
    <row r="95" spans="3:13" x14ac:dyDescent="0.25">
      <c r="C95" s="229" t="s">
        <v>114</v>
      </c>
      <c r="D95" s="230">
        <v>1.857</v>
      </c>
      <c r="E95" s="231">
        <v>1.857</v>
      </c>
      <c r="F95" s="231">
        <v>1.857</v>
      </c>
      <c r="G95" s="231">
        <v>1.857</v>
      </c>
      <c r="H95" s="231">
        <v>1.857</v>
      </c>
      <c r="I95" s="231">
        <v>1.857</v>
      </c>
      <c r="J95" s="231">
        <v>1.857</v>
      </c>
      <c r="K95" s="231">
        <v>1.857</v>
      </c>
      <c r="L95" s="231">
        <v>1.857</v>
      </c>
      <c r="M95" s="231">
        <v>1.849</v>
      </c>
    </row>
    <row r="96" spans="3:13" x14ac:dyDescent="0.25">
      <c r="C96" s="229" t="s">
        <v>115</v>
      </c>
      <c r="D96" s="230">
        <v>0</v>
      </c>
      <c r="E96" s="231">
        <v>0</v>
      </c>
      <c r="F96" s="231">
        <v>0</v>
      </c>
      <c r="G96" s="231">
        <v>0</v>
      </c>
      <c r="H96" s="231">
        <v>0</v>
      </c>
      <c r="I96" s="231">
        <v>0</v>
      </c>
      <c r="J96" s="231">
        <v>0</v>
      </c>
      <c r="K96" s="231">
        <v>0</v>
      </c>
      <c r="L96" s="231">
        <v>0</v>
      </c>
      <c r="M96" s="231">
        <v>0</v>
      </c>
    </row>
    <row r="97" spans="3:13" x14ac:dyDescent="0.25">
      <c r="C97" s="229" t="s">
        <v>116</v>
      </c>
      <c r="D97" s="230">
        <v>0</v>
      </c>
      <c r="E97" s="231">
        <v>0</v>
      </c>
      <c r="F97" s="231">
        <v>0</v>
      </c>
      <c r="G97" s="231">
        <v>0</v>
      </c>
      <c r="H97" s="231">
        <v>0</v>
      </c>
      <c r="I97" s="231">
        <v>0</v>
      </c>
      <c r="J97" s="231">
        <v>0</v>
      </c>
      <c r="K97" s="231">
        <v>0</v>
      </c>
      <c r="L97" s="231">
        <v>0</v>
      </c>
      <c r="M97" s="231">
        <v>0</v>
      </c>
    </row>
    <row r="98" spans="3:13" x14ac:dyDescent="0.25">
      <c r="C98" s="229" t="s">
        <v>117</v>
      </c>
      <c r="D98" s="230">
        <v>0.182</v>
      </c>
      <c r="E98" s="231">
        <v>0.182</v>
      </c>
      <c r="F98" s="231">
        <v>0.182</v>
      </c>
      <c r="G98" s="231">
        <v>0.182</v>
      </c>
      <c r="H98" s="231">
        <v>0.182</v>
      </c>
      <c r="I98" s="231">
        <v>0.182</v>
      </c>
      <c r="J98" s="231">
        <v>0.183</v>
      </c>
      <c r="K98" s="231">
        <v>0.183</v>
      </c>
      <c r="L98" s="231">
        <v>0.182</v>
      </c>
      <c r="M98" s="231">
        <v>0.182</v>
      </c>
    </row>
    <row r="99" spans="3:13" x14ac:dyDescent="0.25">
      <c r="C99" s="229" t="s">
        <v>118</v>
      </c>
      <c r="D99" s="230">
        <v>2.7429999999999999</v>
      </c>
      <c r="E99" s="231">
        <v>2.7229999999999999</v>
      </c>
      <c r="F99" s="231">
        <v>2.7130000000000001</v>
      </c>
      <c r="G99" s="231">
        <v>2.7130000000000001</v>
      </c>
      <c r="H99" s="231">
        <v>2.6970000000000001</v>
      </c>
      <c r="I99" s="231">
        <v>2.7050000000000001</v>
      </c>
      <c r="J99" s="231">
        <v>2.7040000000000002</v>
      </c>
      <c r="K99" s="231">
        <v>2.71</v>
      </c>
      <c r="L99" s="231">
        <v>2.6970000000000001</v>
      </c>
      <c r="M99" s="231">
        <v>2.7210000000000001</v>
      </c>
    </row>
    <row r="100" spans="3:13" x14ac:dyDescent="0.25">
      <c r="C100" s="229" t="s">
        <v>119</v>
      </c>
      <c r="D100" s="230">
        <v>2.7429999999999999</v>
      </c>
      <c r="E100" s="231">
        <v>2.7229999999999999</v>
      </c>
      <c r="F100" s="231">
        <v>2.7130000000000001</v>
      </c>
      <c r="G100" s="231">
        <v>2.7130000000000001</v>
      </c>
      <c r="H100" s="231">
        <v>2.6970000000000001</v>
      </c>
      <c r="I100" s="231">
        <v>2.7050000000000001</v>
      </c>
      <c r="J100" s="231">
        <v>2.7040000000000002</v>
      </c>
      <c r="K100" s="231">
        <v>2.71</v>
      </c>
      <c r="L100" s="231">
        <v>2.6970000000000001</v>
      </c>
      <c r="M100" s="231">
        <v>2.7210000000000001</v>
      </c>
    </row>
    <row r="101" spans="3:13" x14ac:dyDescent="0.25">
      <c r="C101" s="229" t="s">
        <v>120</v>
      </c>
      <c r="D101" s="230">
        <f t="shared" ref="D101:M101" si="0">D98</f>
        <v>0.182</v>
      </c>
      <c r="E101" s="230">
        <f t="shared" si="0"/>
        <v>0.182</v>
      </c>
      <c r="F101" s="230">
        <f t="shared" si="0"/>
        <v>0.182</v>
      </c>
      <c r="G101" s="230">
        <f t="shared" si="0"/>
        <v>0.182</v>
      </c>
      <c r="H101" s="230">
        <f t="shared" si="0"/>
        <v>0.182</v>
      </c>
      <c r="I101" s="230">
        <f t="shared" si="0"/>
        <v>0.182</v>
      </c>
      <c r="J101" s="230">
        <f t="shared" si="0"/>
        <v>0.183</v>
      </c>
      <c r="K101" s="230">
        <f t="shared" si="0"/>
        <v>0.183</v>
      </c>
      <c r="L101" s="230">
        <f t="shared" si="0"/>
        <v>0.182</v>
      </c>
      <c r="M101" s="230">
        <f t="shared" si="0"/>
        <v>0.182</v>
      </c>
    </row>
    <row r="102" spans="3:13" x14ac:dyDescent="0.25">
      <c r="C102" s="229" t="s">
        <v>121</v>
      </c>
      <c r="D102" s="230">
        <f t="shared" ref="D102:M102" si="1">D98</f>
        <v>0.182</v>
      </c>
      <c r="E102" s="230">
        <f t="shared" si="1"/>
        <v>0.182</v>
      </c>
      <c r="F102" s="230">
        <f t="shared" si="1"/>
        <v>0.182</v>
      </c>
      <c r="G102" s="230">
        <f t="shared" si="1"/>
        <v>0.182</v>
      </c>
      <c r="H102" s="230">
        <f t="shared" si="1"/>
        <v>0.182</v>
      </c>
      <c r="I102" s="230">
        <f t="shared" si="1"/>
        <v>0.182</v>
      </c>
      <c r="J102" s="230">
        <f t="shared" si="1"/>
        <v>0.183</v>
      </c>
      <c r="K102" s="230">
        <f t="shared" si="1"/>
        <v>0.183</v>
      </c>
      <c r="L102" s="230">
        <f t="shared" si="1"/>
        <v>0.182</v>
      </c>
      <c r="M102" s="230">
        <f t="shared" si="1"/>
        <v>0.182</v>
      </c>
    </row>
    <row r="103" spans="3:13" x14ac:dyDescent="0.25">
      <c r="C103" s="229" t="s">
        <v>122</v>
      </c>
      <c r="D103" s="230">
        <v>1.671</v>
      </c>
      <c r="E103" s="231">
        <v>1.671</v>
      </c>
      <c r="F103" s="231">
        <v>1.671</v>
      </c>
      <c r="G103" s="231">
        <v>1.671</v>
      </c>
      <c r="H103" s="231">
        <v>1.671</v>
      </c>
      <c r="I103" s="231">
        <v>1.671</v>
      </c>
      <c r="J103" s="231">
        <v>1.671</v>
      </c>
      <c r="K103" s="231">
        <v>1.671</v>
      </c>
      <c r="L103" s="231">
        <v>1.671</v>
      </c>
      <c r="M103" s="231">
        <v>1.6279999999999999</v>
      </c>
    </row>
    <row r="104" spans="3:13" x14ac:dyDescent="0.25">
      <c r="C104" s="229" t="s">
        <v>123</v>
      </c>
      <c r="D104" s="230">
        <v>0</v>
      </c>
      <c r="E104" s="231">
        <v>0</v>
      </c>
      <c r="F104" s="231">
        <v>0</v>
      </c>
      <c r="G104" s="231">
        <v>0</v>
      </c>
      <c r="H104" s="231">
        <v>0</v>
      </c>
      <c r="I104" s="231">
        <v>0</v>
      </c>
      <c r="J104" s="231">
        <v>0</v>
      </c>
      <c r="K104" s="231">
        <v>0</v>
      </c>
      <c r="L104" s="231">
        <v>0</v>
      </c>
      <c r="M104" s="231">
        <v>0</v>
      </c>
    </row>
    <row r="105" spans="3:13" x14ac:dyDescent="0.25">
      <c r="C105" s="229" t="s">
        <v>887</v>
      </c>
      <c r="D105" s="230">
        <v>2.964</v>
      </c>
      <c r="E105" s="231">
        <v>2.964</v>
      </c>
      <c r="F105" s="231">
        <v>2.964</v>
      </c>
      <c r="G105" s="231">
        <v>2.964</v>
      </c>
      <c r="H105" s="231">
        <v>2.964</v>
      </c>
      <c r="I105" s="231">
        <v>2.964</v>
      </c>
      <c r="J105" s="231">
        <v>2.964</v>
      </c>
      <c r="K105" s="231">
        <v>2.964</v>
      </c>
      <c r="L105" s="231">
        <v>2.964</v>
      </c>
      <c r="M105" s="231">
        <v>2.964</v>
      </c>
    </row>
    <row r="106" spans="3:13" x14ac:dyDescent="0.25">
      <c r="C106" s="229" t="s">
        <v>888</v>
      </c>
      <c r="D106" s="230">
        <v>2.9380000000000002</v>
      </c>
      <c r="E106" s="231">
        <v>2.9380000000000002</v>
      </c>
      <c r="F106" s="231">
        <v>2.9380000000000002</v>
      </c>
      <c r="G106" s="231">
        <v>2.9380000000000002</v>
      </c>
      <c r="H106" s="231">
        <v>2.9380000000000002</v>
      </c>
      <c r="I106" s="231">
        <v>2.9380000000000002</v>
      </c>
      <c r="J106" s="231">
        <v>2.9380000000000002</v>
      </c>
      <c r="K106" s="231">
        <v>2.9380000000000002</v>
      </c>
      <c r="L106" s="231">
        <v>2.9380000000000002</v>
      </c>
      <c r="M106" s="231">
        <v>2.9380000000000002</v>
      </c>
    </row>
    <row r="107" spans="3:13" x14ac:dyDescent="0.25">
      <c r="C107" s="229" t="s">
        <v>889</v>
      </c>
      <c r="D107" s="230">
        <v>3.1269999999999998</v>
      </c>
      <c r="E107" s="231">
        <v>3.1269999999999998</v>
      </c>
      <c r="F107" s="231">
        <v>3.1269999999999998</v>
      </c>
      <c r="G107" s="231">
        <v>3.1269999999999998</v>
      </c>
      <c r="H107" s="231">
        <v>3.1269999999999998</v>
      </c>
      <c r="I107" s="231">
        <v>3.1269999999999998</v>
      </c>
      <c r="J107" s="231">
        <v>3.1269999999999998</v>
      </c>
      <c r="K107" s="231">
        <v>3.1269999999999998</v>
      </c>
      <c r="L107" s="231">
        <v>3.1269999999999998</v>
      </c>
      <c r="M107" s="231">
        <v>3.1269999999999998</v>
      </c>
    </row>
    <row r="108" spans="3:13" x14ac:dyDescent="0.25">
      <c r="C108" s="229" t="s">
        <v>890</v>
      </c>
      <c r="D108" s="230">
        <v>2.2989999999999999</v>
      </c>
      <c r="E108" s="231">
        <v>2.2989999999999999</v>
      </c>
      <c r="F108" s="231">
        <v>2.2989999999999999</v>
      </c>
      <c r="G108" s="231">
        <v>2.2989999999999999</v>
      </c>
      <c r="H108" s="231">
        <v>2.2989999999999999</v>
      </c>
      <c r="I108" s="231">
        <v>2.0059999999999998</v>
      </c>
      <c r="J108" s="231">
        <v>2.2269999999999999</v>
      </c>
      <c r="K108" s="231">
        <v>2.2269999999999999</v>
      </c>
      <c r="L108" s="231">
        <v>1.9139999999999999</v>
      </c>
      <c r="M108" s="231">
        <v>2.718</v>
      </c>
    </row>
    <row r="109" spans="3:13" x14ac:dyDescent="0.25">
      <c r="C109" s="229" t="s">
        <v>878</v>
      </c>
      <c r="D109" s="230">
        <v>2.5790000000000002</v>
      </c>
      <c r="E109" s="231">
        <v>2.5790000000000002</v>
      </c>
      <c r="F109" s="231">
        <v>2.5790000000000002</v>
      </c>
      <c r="G109" s="231">
        <v>2.5790000000000002</v>
      </c>
      <c r="H109" s="231">
        <v>2.5790000000000002</v>
      </c>
      <c r="I109" s="231">
        <v>2.4300000000000002</v>
      </c>
      <c r="J109" s="231">
        <v>2.444</v>
      </c>
      <c r="K109" s="231">
        <v>2.444</v>
      </c>
      <c r="L109" s="231">
        <v>2.4289999999999998</v>
      </c>
      <c r="M109" s="231">
        <v>2.4689999999999999</v>
      </c>
    </row>
    <row r="110" spans="3:13" x14ac:dyDescent="0.25">
      <c r="C110" s="229" t="s">
        <v>879</v>
      </c>
      <c r="D110" s="230">
        <v>3.169</v>
      </c>
      <c r="E110" s="231">
        <v>3.169</v>
      </c>
      <c r="F110" s="231">
        <v>3.169</v>
      </c>
      <c r="G110" s="231">
        <v>3.169</v>
      </c>
      <c r="H110" s="231">
        <v>3.169</v>
      </c>
      <c r="I110" s="231">
        <v>3.169</v>
      </c>
      <c r="J110" s="231">
        <v>3.169</v>
      </c>
      <c r="K110" s="231">
        <v>3.169</v>
      </c>
      <c r="L110" s="231">
        <v>3.169</v>
      </c>
      <c r="M110" s="231">
        <v>3.169</v>
      </c>
    </row>
    <row r="111" spans="3:13" x14ac:dyDescent="0.25">
      <c r="C111" s="232" t="s">
        <v>881</v>
      </c>
      <c r="D111" s="230">
        <v>0</v>
      </c>
      <c r="E111" s="231">
        <v>0</v>
      </c>
      <c r="F111" s="231">
        <v>0</v>
      </c>
      <c r="G111" s="231">
        <v>0</v>
      </c>
      <c r="H111" s="231">
        <v>0</v>
      </c>
      <c r="I111" s="231">
        <v>0</v>
      </c>
      <c r="J111" s="231">
        <v>0</v>
      </c>
      <c r="K111" s="231">
        <v>0</v>
      </c>
      <c r="L111" s="231">
        <v>0</v>
      </c>
      <c r="M111" s="231">
        <v>0</v>
      </c>
    </row>
    <row r="112" spans="3:13" x14ac:dyDescent="0.25">
      <c r="C112" s="232" t="s">
        <v>884</v>
      </c>
      <c r="D112" s="230" t="s">
        <v>106</v>
      </c>
      <c r="E112" s="231" t="s">
        <v>106</v>
      </c>
      <c r="F112" s="231" t="s">
        <v>106</v>
      </c>
      <c r="G112" s="231" t="s">
        <v>106</v>
      </c>
      <c r="H112" s="231" t="s">
        <v>106</v>
      </c>
      <c r="I112" s="231" t="s">
        <v>106</v>
      </c>
      <c r="J112" s="231" t="s">
        <v>106</v>
      </c>
      <c r="K112" s="231" t="s">
        <v>106</v>
      </c>
      <c r="L112" s="231" t="s">
        <v>106</v>
      </c>
      <c r="M112" s="231" t="s">
        <v>106</v>
      </c>
    </row>
    <row r="113" spans="1:43" x14ac:dyDescent="0.25">
      <c r="C113" s="233"/>
      <c r="D113" s="234"/>
      <c r="E113" s="235"/>
      <c r="F113" s="235"/>
      <c r="G113" s="235"/>
      <c r="H113" s="235"/>
      <c r="I113" s="235"/>
      <c r="J113" s="235"/>
      <c r="K113" s="235"/>
      <c r="L113" s="235"/>
      <c r="M113" s="235"/>
    </row>
    <row r="114" spans="1:43" s="213" customFormat="1" x14ac:dyDescent="0.25">
      <c r="A114" s="213" t="s">
        <v>124</v>
      </c>
      <c r="C114" s="236"/>
      <c r="D114" s="236"/>
      <c r="E114" s="224" t="s">
        <v>79</v>
      </c>
      <c r="F114" s="237"/>
      <c r="G114" s="237"/>
    </row>
    <row r="115" spans="1:43" x14ac:dyDescent="0.25">
      <c r="C115" s="219"/>
      <c r="D115" s="219"/>
      <c r="E115" s="238">
        <v>2011</v>
      </c>
      <c r="F115" s="239">
        <v>2012</v>
      </c>
      <c r="G115" s="239">
        <v>2013</v>
      </c>
      <c r="H115" s="239">
        <v>2014</v>
      </c>
      <c r="I115" s="239">
        <v>2015</v>
      </c>
      <c r="J115" s="239">
        <v>2016</v>
      </c>
      <c r="K115" s="239">
        <v>2017</v>
      </c>
      <c r="L115" s="239">
        <v>2018</v>
      </c>
      <c r="M115" s="239">
        <v>2019</v>
      </c>
      <c r="N115" s="238">
        <v>2020</v>
      </c>
    </row>
    <row r="116" spans="1:43" x14ac:dyDescent="0.25">
      <c r="B116" t="s">
        <v>35</v>
      </c>
      <c r="C116" s="219"/>
      <c r="D116" s="219">
        <v>1</v>
      </c>
      <c r="E116">
        <v>2</v>
      </c>
      <c r="F116">
        <v>3</v>
      </c>
      <c r="G116" s="219">
        <v>4</v>
      </c>
      <c r="H116" s="219">
        <v>5</v>
      </c>
      <c r="I116" s="219">
        <v>6</v>
      </c>
      <c r="J116" s="219">
        <v>7</v>
      </c>
      <c r="K116" s="219">
        <v>8</v>
      </c>
      <c r="L116" s="219">
        <v>9</v>
      </c>
      <c r="M116" s="219">
        <v>10</v>
      </c>
      <c r="N116" s="219">
        <v>11</v>
      </c>
      <c r="Q116" s="224" t="s">
        <v>125</v>
      </c>
      <c r="R116" s="224"/>
      <c r="S116" s="224"/>
      <c r="T116" s="224"/>
    </row>
    <row r="117" spans="1:43" ht="45" x14ac:dyDescent="0.25">
      <c r="C117" s="240" t="s">
        <v>126</v>
      </c>
      <c r="D117" s="241" t="s">
        <v>127</v>
      </c>
      <c r="E117" s="240" t="s">
        <v>128</v>
      </c>
      <c r="F117" s="240" t="s">
        <v>129</v>
      </c>
      <c r="G117" s="240" t="s">
        <v>130</v>
      </c>
      <c r="H117" s="240" t="s">
        <v>131</v>
      </c>
      <c r="I117" s="240" t="s">
        <v>132</v>
      </c>
      <c r="J117" s="240" t="s">
        <v>133</v>
      </c>
      <c r="K117" s="240" t="s">
        <v>134</v>
      </c>
      <c r="L117" s="240" t="s">
        <v>135</v>
      </c>
      <c r="M117" s="240" t="s">
        <v>136</v>
      </c>
      <c r="N117" s="242" t="s">
        <v>137</v>
      </c>
      <c r="Q117" s="243" t="s">
        <v>138</v>
      </c>
      <c r="R117" s="244" t="s">
        <v>139</v>
      </c>
      <c r="Y117" s="376" t="s">
        <v>756</v>
      </c>
      <c r="Z117" s="377" t="s">
        <v>750</v>
      </c>
      <c r="AA117" s="377" t="s">
        <v>751</v>
      </c>
      <c r="AB117" s="377" t="s">
        <v>752</v>
      </c>
      <c r="AC117" s="377" t="s">
        <v>753</v>
      </c>
      <c r="AD117" s="377" t="s">
        <v>754</v>
      </c>
      <c r="AE117" s="377" t="s">
        <v>755</v>
      </c>
      <c r="AF117" s="371"/>
      <c r="AG117" s="240" t="s">
        <v>758</v>
      </c>
      <c r="AH117" s="257" t="s">
        <v>139</v>
      </c>
      <c r="AI117" s="257" t="s">
        <v>759</v>
      </c>
      <c r="AJ117" s="240" t="s">
        <v>757</v>
      </c>
      <c r="AK117" s="257" t="s">
        <v>139</v>
      </c>
      <c r="AL117" s="257" t="s">
        <v>760</v>
      </c>
      <c r="AM117" s="370"/>
      <c r="AN117" s="257" t="s">
        <v>761</v>
      </c>
      <c r="AO117" s="244" t="s">
        <v>139</v>
      </c>
      <c r="AQ117" s="382" t="s">
        <v>140</v>
      </c>
    </row>
    <row r="118" spans="1:43" x14ac:dyDescent="0.25">
      <c r="C118" s="246">
        <f>'1_Combustibles fòssils'!G18</f>
        <v>0</v>
      </c>
      <c r="D118" s="247" t="s">
        <v>881</v>
      </c>
      <c r="E118" s="248">
        <f t="shared" ref="E118:N127" si="2">INDEX($D$84:$M$112,MATCH($D118,$C$84:$C$112,0),MATCH(E$115,$D$83:$M$83,0))</f>
        <v>0</v>
      </c>
      <c r="F118" s="248">
        <f t="shared" si="2"/>
        <v>0</v>
      </c>
      <c r="G118" s="248">
        <f t="shared" si="2"/>
        <v>0</v>
      </c>
      <c r="H118" s="248">
        <f t="shared" si="2"/>
        <v>0</v>
      </c>
      <c r="I118" s="248">
        <f t="shared" si="2"/>
        <v>0</v>
      </c>
      <c r="J118" s="248">
        <f t="shared" si="2"/>
        <v>0</v>
      </c>
      <c r="K118" s="248">
        <f t="shared" si="2"/>
        <v>0</v>
      </c>
      <c r="L118" s="248">
        <f t="shared" si="2"/>
        <v>0</v>
      </c>
      <c r="M118" s="248">
        <f t="shared" si="2"/>
        <v>0</v>
      </c>
      <c r="N118" s="248">
        <f t="shared" si="2"/>
        <v>0</v>
      </c>
      <c r="Q118" s="249" t="e">
        <f>VLOOKUP(Dades!C118,Dades!$D$118:$N$142,Dades!$F$2-2009,0)</f>
        <v>#N/A</v>
      </c>
      <c r="R118" s="250" t="str">
        <f>IF(ISNUMBER('1_Combustibles fòssils'!I18),'1_Combustibles fòssils'!I18*'1_Combustibles fòssils'!H18,"")</f>
        <v/>
      </c>
      <c r="Y118" s="268" t="s">
        <v>881</v>
      </c>
      <c r="Z118" s="268" t="s">
        <v>106</v>
      </c>
      <c r="AA118" s="268" t="s">
        <v>106</v>
      </c>
      <c r="AB118" s="268">
        <v>0</v>
      </c>
      <c r="AC118" s="268">
        <v>0</v>
      </c>
      <c r="AD118" s="375">
        <v>0</v>
      </c>
      <c r="AE118" s="375">
        <v>0</v>
      </c>
      <c r="AG118" s="379" t="e">
        <f>VLOOKUP(Dades!C118,Dades!$Y$118:$AE$142,6,0)</f>
        <v>#N/A</v>
      </c>
      <c r="AH118" s="379" t="str">
        <f>IF(ISNUMBER('1_Combustibles fòssils'!J18),'1_Combustibles fòssils'!J18*'1_Combustibles fòssils'!H18,"")</f>
        <v/>
      </c>
      <c r="AI118" s="379" t="str">
        <f>IF(ISNUMBER(AH118),AH118*$D$657,"")</f>
        <v/>
      </c>
      <c r="AJ118" s="379" t="e">
        <f>VLOOKUP(Dades!C118,Dades!$Y$118:$AE$142,7,0)</f>
        <v>#N/A</v>
      </c>
      <c r="AK118" s="379" t="str">
        <f>IF(ISNUMBER('1_Combustibles fòssils'!K18),'1_Combustibles fòssils'!K18*'1_Combustibles fòssils'!H18,"")</f>
        <v/>
      </c>
      <c r="AL118" s="379" t="str">
        <f>IF(ISNUMBER(AK118),AK118*$D$658,"")</f>
        <v/>
      </c>
      <c r="AN118" s="379" t="str">
        <f>IF(ISNUMBER(Q118),R118+AI118+AL118,"")</f>
        <v/>
      </c>
      <c r="AO118" s="250" t="str">
        <f>IF(ISNUMBER('1_Combustibles fòssils'!L18),'1_Combustibles fòssils'!H18*'1_Combustibles fòssils'!L18,IF(ISNUMBER('1_Combustibles fòssils'!I18),AN118,""))</f>
        <v/>
      </c>
      <c r="AQ118" s="251">
        <f>SUM(AO118:AO139)</f>
        <v>0</v>
      </c>
    </row>
    <row r="119" spans="1:43" x14ac:dyDescent="0.25">
      <c r="C119" s="246">
        <f>'1_Combustibles fòssils'!G19</f>
        <v>0</v>
      </c>
      <c r="D119" s="247" t="s">
        <v>872</v>
      </c>
      <c r="E119" s="248">
        <f t="shared" si="2"/>
        <v>2.8679999999999999</v>
      </c>
      <c r="F119" s="248">
        <f t="shared" si="2"/>
        <v>2.8679999999999999</v>
      </c>
      <c r="G119" s="248">
        <f t="shared" si="2"/>
        <v>2.8679999999999999</v>
      </c>
      <c r="H119" s="248">
        <f t="shared" si="2"/>
        <v>2.8679999999999999</v>
      </c>
      <c r="I119" s="248">
        <f t="shared" si="2"/>
        <v>2.8679999999999999</v>
      </c>
      <c r="J119" s="248">
        <f t="shared" si="2"/>
        <v>2.8679999999999999</v>
      </c>
      <c r="K119" s="248">
        <f t="shared" si="2"/>
        <v>2.8679999999999999</v>
      </c>
      <c r="L119" s="248">
        <f t="shared" si="2"/>
        <v>2.8679999999999999</v>
      </c>
      <c r="M119" s="248">
        <f t="shared" si="2"/>
        <v>2.8679999999999999</v>
      </c>
      <c r="N119" s="248">
        <f t="shared" si="2"/>
        <v>2.8679999999999999</v>
      </c>
      <c r="Q119" s="249" t="e">
        <f t="shared" ref="Q119:Q139" si="3">VLOOKUP(C119,$D$118:$N$142,$F$2-2009,0)</f>
        <v>#N/A</v>
      </c>
      <c r="R119" s="250" t="str">
        <f>IF(ISNUMBER('1_Combustibles fòssils'!I19),'1_Combustibles fòssils'!I19*'1_Combustibles fòssils'!H19,"")</f>
        <v/>
      </c>
      <c r="Y119" s="268" t="s">
        <v>872</v>
      </c>
      <c r="Z119" s="268">
        <v>0.9</v>
      </c>
      <c r="AA119" s="374">
        <f>43*277.78/1000</f>
        <v>11.94454</v>
      </c>
      <c r="AB119" s="268">
        <f>0.7/277777.78</f>
        <v>2.5199999798399997E-6</v>
      </c>
      <c r="AC119" s="268">
        <f>0.4/277777.78</f>
        <v>1.43999998848E-6</v>
      </c>
      <c r="AD119" s="375">
        <f>Z119*AA119*AB119</f>
        <v>2.709021650327826E-5</v>
      </c>
      <c r="AE119" s="375">
        <f>Z119*AA119*AC119</f>
        <v>1.5480123716159009E-5</v>
      </c>
      <c r="AG119" s="379" t="e">
        <f t="shared" ref="AG119:AG139" si="4">VLOOKUP(C119,$Y$118:$AE$142,6,0)</f>
        <v>#N/A</v>
      </c>
      <c r="AH119" s="379" t="str">
        <f>IF(ISNUMBER('1_Combustibles fòssils'!J19),'1_Combustibles fòssils'!J19*'1_Combustibles fòssils'!H19,"")</f>
        <v/>
      </c>
      <c r="AI119" s="379" t="str">
        <f t="shared" ref="AI119:AI139" si="5">IF(ISNUMBER(AH119),AH119*$D$657,"")</f>
        <v/>
      </c>
      <c r="AJ119" s="379" t="e">
        <f t="shared" ref="AJ119:AJ139" si="6">VLOOKUP(C119,$Y$118:$AE$142,7,0)</f>
        <v>#N/A</v>
      </c>
      <c r="AK119" s="379" t="str">
        <f>IF(ISNUMBER('1_Combustibles fòssils'!K19),'1_Combustibles fòssils'!K19*'1_Combustibles fòssils'!H19,"")</f>
        <v/>
      </c>
      <c r="AL119" s="379" t="str">
        <f t="shared" ref="AL119:AL139" si="7">IF(ISNUMBER(AK119),AK119*$D$658,"")</f>
        <v/>
      </c>
      <c r="AN119" s="379" t="str">
        <f t="shared" ref="AN119:AN139" si="8">IF(ISNUMBER(Q119),R119+AI119+AL119,"")</f>
        <v/>
      </c>
      <c r="AO119" s="250" t="str">
        <f>IF(ISNUMBER('1_Combustibles fòssils'!L19),'1_Combustibles fòssils'!H19*'1_Combustibles fòssils'!L19,IF(ISNUMBER('1_Combustibles fòssils'!I19),AN119,""))</f>
        <v/>
      </c>
    </row>
    <row r="120" spans="1:43" x14ac:dyDescent="0.25">
      <c r="C120" s="246">
        <f>'1_Combustibles fòssils'!G20</f>
        <v>0</v>
      </c>
      <c r="D120" s="247" t="s">
        <v>873</v>
      </c>
      <c r="E120" s="248">
        <f t="shared" si="2"/>
        <v>2.7080000000000002</v>
      </c>
      <c r="F120" s="248">
        <f t="shared" si="2"/>
        <v>2.7080000000000002</v>
      </c>
      <c r="G120" s="248">
        <f t="shared" si="2"/>
        <v>2.7080000000000002</v>
      </c>
      <c r="H120" s="248">
        <f t="shared" si="2"/>
        <v>2.7080000000000002</v>
      </c>
      <c r="I120" s="248">
        <f t="shared" si="2"/>
        <v>2.7080000000000002</v>
      </c>
      <c r="J120" s="248">
        <f t="shared" si="2"/>
        <v>2.7080000000000002</v>
      </c>
      <c r="K120" s="248">
        <f t="shared" si="2"/>
        <v>2.7080000000000002</v>
      </c>
      <c r="L120" s="248">
        <f t="shared" si="2"/>
        <v>2.7080000000000002</v>
      </c>
      <c r="M120" s="248">
        <f t="shared" si="2"/>
        <v>2.7080000000000002</v>
      </c>
      <c r="N120" s="248">
        <f t="shared" si="2"/>
        <v>2.6859999999999999</v>
      </c>
      <c r="Q120" s="249" t="e">
        <f t="shared" si="3"/>
        <v>#N/A</v>
      </c>
      <c r="R120" s="250" t="str">
        <f>IF(ISNUMBER('1_Combustibles fòssils'!I20),'1_Combustibles fòssils'!I20*'1_Combustibles fòssils'!H20,"")</f>
        <v/>
      </c>
      <c r="Y120" s="268" t="s">
        <v>873</v>
      </c>
      <c r="Z120" s="268">
        <v>0.88</v>
      </c>
      <c r="AA120" s="374">
        <f>43*277.78/1000</f>
        <v>11.94454</v>
      </c>
      <c r="AB120" s="268">
        <f>0.7/277777.78</f>
        <v>2.5199999798399997E-6</v>
      </c>
      <c r="AC120" s="268">
        <f>0.4/277777.78</f>
        <v>1.43999998848E-6</v>
      </c>
      <c r="AD120" s="375">
        <f>Z120*AA120*AB120</f>
        <v>2.6488211692094299E-5</v>
      </c>
      <c r="AE120" s="375">
        <f>Z120*AA120*AC120</f>
        <v>1.513612096691103E-5</v>
      </c>
      <c r="AG120" s="379" t="e">
        <f t="shared" si="4"/>
        <v>#N/A</v>
      </c>
      <c r="AH120" s="379" t="str">
        <f>IF(ISNUMBER('1_Combustibles fòssils'!J20),'1_Combustibles fòssils'!J20*'1_Combustibles fòssils'!H20,"")</f>
        <v/>
      </c>
      <c r="AI120" s="379" t="str">
        <f t="shared" si="5"/>
        <v/>
      </c>
      <c r="AJ120" s="379" t="e">
        <f t="shared" si="6"/>
        <v>#N/A</v>
      </c>
      <c r="AK120" s="379" t="str">
        <f>IF(ISNUMBER('1_Combustibles fòssils'!K20),'1_Combustibles fòssils'!K20*'1_Combustibles fòssils'!H20,"")</f>
        <v/>
      </c>
      <c r="AL120" s="379" t="str">
        <f t="shared" si="7"/>
        <v/>
      </c>
      <c r="AN120" s="379" t="str">
        <f t="shared" si="8"/>
        <v/>
      </c>
      <c r="AO120" s="250" t="str">
        <f>IF(ISNUMBER('1_Combustibles fòssils'!L20),'1_Combustibles fòssils'!H20*'1_Combustibles fòssils'!L20,IF(ISNUMBER('1_Combustibles fòssils'!I20),AN120,""))</f>
        <v/>
      </c>
    </row>
    <row r="121" spans="1:43" x14ac:dyDescent="0.25">
      <c r="C121" s="246">
        <f>'1_Combustibles fòssils'!G21</f>
        <v>0</v>
      </c>
      <c r="D121" s="247" t="s">
        <v>56</v>
      </c>
      <c r="E121" s="248">
        <f t="shared" si="2"/>
        <v>0.182</v>
      </c>
      <c r="F121" s="248">
        <f t="shared" si="2"/>
        <v>0.182</v>
      </c>
      <c r="G121" s="248">
        <f t="shared" si="2"/>
        <v>0.182</v>
      </c>
      <c r="H121" s="248">
        <f t="shared" si="2"/>
        <v>0.182</v>
      </c>
      <c r="I121" s="248">
        <f t="shared" si="2"/>
        <v>0.182</v>
      </c>
      <c r="J121" s="248">
        <f t="shared" si="2"/>
        <v>0.182</v>
      </c>
      <c r="K121" s="248">
        <f t="shared" si="2"/>
        <v>0.183</v>
      </c>
      <c r="L121" s="248">
        <f t="shared" si="2"/>
        <v>0.183</v>
      </c>
      <c r="M121" s="248">
        <f t="shared" si="2"/>
        <v>0.182</v>
      </c>
      <c r="N121" s="248">
        <f t="shared" si="2"/>
        <v>0.182</v>
      </c>
      <c r="Q121" s="249" t="e">
        <f t="shared" si="3"/>
        <v>#N/A</v>
      </c>
      <c r="R121" s="250" t="str">
        <f>IF(ISNUMBER('1_Combustibles fòssils'!I21),'1_Combustibles fòssils'!I21*'1_Combustibles fòssils'!H21,"")</f>
        <v/>
      </c>
      <c r="Y121" s="268" t="s">
        <v>56</v>
      </c>
      <c r="Z121" s="268" t="s">
        <v>106</v>
      </c>
      <c r="AA121" s="374" t="s">
        <v>106</v>
      </c>
      <c r="AB121" s="268">
        <f t="shared" ref="AB121:AC123" si="9">1/277777.78</f>
        <v>3.5999999712E-6</v>
      </c>
      <c r="AC121" s="268">
        <f t="shared" si="9"/>
        <v>3.5999999712E-6</v>
      </c>
      <c r="AD121" s="375">
        <f>AB121</f>
        <v>3.5999999712E-6</v>
      </c>
      <c r="AE121" s="375">
        <f>AC121</f>
        <v>3.5999999712E-6</v>
      </c>
      <c r="AG121" s="379" t="e">
        <f t="shared" si="4"/>
        <v>#N/A</v>
      </c>
      <c r="AH121" s="379" t="str">
        <f>IF(ISNUMBER('1_Combustibles fòssils'!J21),'1_Combustibles fòssils'!J21*'1_Combustibles fòssils'!H21,"")</f>
        <v/>
      </c>
      <c r="AI121" s="379" t="str">
        <f t="shared" si="5"/>
        <v/>
      </c>
      <c r="AJ121" s="379" t="e">
        <f t="shared" si="6"/>
        <v>#N/A</v>
      </c>
      <c r="AK121" s="379" t="str">
        <f>IF(ISNUMBER('1_Combustibles fòssils'!K21),'1_Combustibles fòssils'!K21*'1_Combustibles fòssils'!H21,"")</f>
        <v/>
      </c>
      <c r="AL121" s="379" t="str">
        <f t="shared" si="7"/>
        <v/>
      </c>
      <c r="AN121" s="379" t="str">
        <f t="shared" si="8"/>
        <v/>
      </c>
      <c r="AO121" s="250" t="str">
        <f>IF(ISNUMBER('1_Combustibles fòssils'!L21),'1_Combustibles fòssils'!H21*'1_Combustibles fòssils'!L21,IF(ISNUMBER('1_Combustibles fòssils'!I21),AN121,""))</f>
        <v/>
      </c>
    </row>
    <row r="122" spans="1:43" x14ac:dyDescent="0.25">
      <c r="C122" s="246">
        <f>'1_Combustibles fòssils'!G22</f>
        <v>0</v>
      </c>
      <c r="D122" s="247" t="s">
        <v>61</v>
      </c>
      <c r="E122" s="248">
        <f t="shared" si="2"/>
        <v>0.182</v>
      </c>
      <c r="F122" s="248">
        <f t="shared" si="2"/>
        <v>0.182</v>
      </c>
      <c r="G122" s="248">
        <f t="shared" si="2"/>
        <v>0.182</v>
      </c>
      <c r="H122" s="248">
        <f t="shared" si="2"/>
        <v>0.182</v>
      </c>
      <c r="I122" s="248">
        <f t="shared" si="2"/>
        <v>0.182</v>
      </c>
      <c r="J122" s="248">
        <f t="shared" si="2"/>
        <v>0.182</v>
      </c>
      <c r="K122" s="248">
        <f t="shared" si="2"/>
        <v>0.183</v>
      </c>
      <c r="L122" s="248">
        <f t="shared" si="2"/>
        <v>0.183</v>
      </c>
      <c r="M122" s="248">
        <f t="shared" si="2"/>
        <v>0.182</v>
      </c>
      <c r="N122" s="248">
        <f t="shared" si="2"/>
        <v>0.182</v>
      </c>
      <c r="Q122" s="249" t="e">
        <f t="shared" si="3"/>
        <v>#N/A</v>
      </c>
      <c r="R122" s="250" t="str">
        <f>IF(ISNUMBER('1_Combustibles fòssils'!I22),'1_Combustibles fòssils'!I22*'1_Combustibles fòssils'!H22,"")</f>
        <v/>
      </c>
      <c r="Y122" s="268" t="s">
        <v>61</v>
      </c>
      <c r="Z122" s="268" t="s">
        <v>106</v>
      </c>
      <c r="AA122" s="374" t="s">
        <v>106</v>
      </c>
      <c r="AB122" s="268">
        <f t="shared" si="9"/>
        <v>3.5999999712E-6</v>
      </c>
      <c r="AC122" s="268">
        <f t="shared" si="9"/>
        <v>3.5999999712E-6</v>
      </c>
      <c r="AD122" s="375">
        <f t="shared" ref="AD122:AD123" si="10">AB122</f>
        <v>3.5999999712E-6</v>
      </c>
      <c r="AE122" s="375">
        <f t="shared" ref="AE122:AE123" si="11">AC122</f>
        <v>3.5999999712E-6</v>
      </c>
      <c r="AG122" s="379" t="e">
        <f t="shared" si="4"/>
        <v>#N/A</v>
      </c>
      <c r="AH122" s="379" t="str">
        <f>IF(ISNUMBER('1_Combustibles fòssils'!J22),'1_Combustibles fòssils'!J22*'1_Combustibles fòssils'!H22,"")</f>
        <v/>
      </c>
      <c r="AI122" s="379" t="str">
        <f t="shared" si="5"/>
        <v/>
      </c>
      <c r="AJ122" s="379" t="e">
        <f t="shared" si="6"/>
        <v>#N/A</v>
      </c>
      <c r="AK122" s="379" t="str">
        <f>IF(ISNUMBER('1_Combustibles fòssils'!K22),'1_Combustibles fòssils'!K22*'1_Combustibles fòssils'!H22,"")</f>
        <v/>
      </c>
      <c r="AL122" s="379" t="str">
        <f t="shared" si="7"/>
        <v/>
      </c>
      <c r="AN122" s="379" t="str">
        <f t="shared" si="8"/>
        <v/>
      </c>
      <c r="AO122" s="250" t="str">
        <f>IF(ISNUMBER('1_Combustibles fòssils'!L22),'1_Combustibles fòssils'!H22*'1_Combustibles fòssils'!L22,IF(ISNUMBER('1_Combustibles fòssils'!I22),AN122,""))</f>
        <v/>
      </c>
    </row>
    <row r="123" spans="1:43" x14ac:dyDescent="0.25">
      <c r="C123" s="246">
        <f>'1_Combustibles fòssils'!G23</f>
        <v>0</v>
      </c>
      <c r="D123" s="247" t="s">
        <v>64</v>
      </c>
      <c r="E123" s="248">
        <f t="shared" si="2"/>
        <v>0.182</v>
      </c>
      <c r="F123" s="248">
        <f t="shared" si="2"/>
        <v>0.182</v>
      </c>
      <c r="G123" s="248">
        <f t="shared" si="2"/>
        <v>0.182</v>
      </c>
      <c r="H123" s="248">
        <f t="shared" si="2"/>
        <v>0.182</v>
      </c>
      <c r="I123" s="248">
        <f t="shared" si="2"/>
        <v>0.182</v>
      </c>
      <c r="J123" s="248">
        <f t="shared" si="2"/>
        <v>0.182</v>
      </c>
      <c r="K123" s="248">
        <f t="shared" si="2"/>
        <v>0.183</v>
      </c>
      <c r="L123" s="248">
        <f t="shared" si="2"/>
        <v>0.183</v>
      </c>
      <c r="M123" s="248">
        <f t="shared" si="2"/>
        <v>0.182</v>
      </c>
      <c r="N123" s="248">
        <f t="shared" si="2"/>
        <v>0.182</v>
      </c>
      <c r="Q123" s="249" t="e">
        <f t="shared" si="3"/>
        <v>#N/A</v>
      </c>
      <c r="R123" s="250" t="str">
        <f>IF(ISNUMBER('1_Combustibles fòssils'!I23),'1_Combustibles fòssils'!I23*'1_Combustibles fòssils'!H23,"")</f>
        <v/>
      </c>
      <c r="Y123" s="268" t="s">
        <v>64</v>
      </c>
      <c r="Z123" s="268" t="s">
        <v>106</v>
      </c>
      <c r="AA123" s="374" t="s">
        <v>106</v>
      </c>
      <c r="AB123" s="268">
        <f t="shared" si="9"/>
        <v>3.5999999712E-6</v>
      </c>
      <c r="AC123" s="268">
        <f t="shared" si="9"/>
        <v>3.5999999712E-6</v>
      </c>
      <c r="AD123" s="375">
        <f t="shared" si="10"/>
        <v>3.5999999712E-6</v>
      </c>
      <c r="AE123" s="375">
        <f t="shared" si="11"/>
        <v>3.5999999712E-6</v>
      </c>
      <c r="AG123" s="379" t="e">
        <f t="shared" si="4"/>
        <v>#N/A</v>
      </c>
      <c r="AH123" s="379" t="str">
        <f>IF(ISNUMBER('1_Combustibles fòssils'!J23),'1_Combustibles fòssils'!J23*'1_Combustibles fòssils'!H23,"")</f>
        <v/>
      </c>
      <c r="AI123" s="379" t="str">
        <f t="shared" si="5"/>
        <v/>
      </c>
      <c r="AJ123" s="379" t="e">
        <f t="shared" si="6"/>
        <v>#N/A</v>
      </c>
      <c r="AK123" s="379" t="str">
        <f>IF(ISNUMBER('1_Combustibles fòssils'!K23),'1_Combustibles fòssils'!K23*'1_Combustibles fòssils'!H23,"")</f>
        <v/>
      </c>
      <c r="AL123" s="379" t="str">
        <f t="shared" si="7"/>
        <v/>
      </c>
      <c r="AN123" s="379" t="str">
        <f t="shared" si="8"/>
        <v/>
      </c>
      <c r="AO123" s="250" t="str">
        <f>IF(ISNUMBER('1_Combustibles fòssils'!L23),'1_Combustibles fòssils'!H23*'1_Combustibles fòssils'!L23,IF(ISNUMBER('1_Combustibles fòssils'!I23),AN123,""))</f>
        <v/>
      </c>
    </row>
    <row r="124" spans="1:43" x14ac:dyDescent="0.25">
      <c r="C124" s="246">
        <f>'1_Combustibles fòssils'!G24</f>
        <v>0</v>
      </c>
      <c r="D124" s="247" t="s">
        <v>66</v>
      </c>
      <c r="E124" s="248">
        <f t="shared" si="2"/>
        <v>1.671</v>
      </c>
      <c r="F124" s="248">
        <f t="shared" si="2"/>
        <v>1.671</v>
      </c>
      <c r="G124" s="248">
        <f t="shared" si="2"/>
        <v>1.671</v>
      </c>
      <c r="H124" s="248">
        <f t="shared" si="2"/>
        <v>1.671</v>
      </c>
      <c r="I124" s="248">
        <f t="shared" si="2"/>
        <v>1.671</v>
      </c>
      <c r="J124" s="248">
        <f t="shared" si="2"/>
        <v>1.671</v>
      </c>
      <c r="K124" s="248">
        <f t="shared" si="2"/>
        <v>1.671</v>
      </c>
      <c r="L124" s="248">
        <f t="shared" si="2"/>
        <v>1.671</v>
      </c>
      <c r="M124" s="248">
        <f t="shared" si="2"/>
        <v>1.671</v>
      </c>
      <c r="N124" s="248">
        <f t="shared" si="2"/>
        <v>1.6279999999999999</v>
      </c>
      <c r="Q124" s="249" t="e">
        <f t="shared" si="3"/>
        <v>#N/A</v>
      </c>
      <c r="R124" s="250" t="str">
        <f>IF(ISNUMBER('1_Combustibles fòssils'!I24),'1_Combustibles fòssils'!I24*'1_Combustibles fòssils'!H24,"")</f>
        <v/>
      </c>
      <c r="Y124" s="268" t="s">
        <v>66</v>
      </c>
      <c r="Z124" s="268">
        <v>0.50760000000000005</v>
      </c>
      <c r="AA124" s="374">
        <f>47.3*277.78/1000</f>
        <v>13.138993999999999</v>
      </c>
      <c r="AB124" s="268">
        <f>0.9/277777.78</f>
        <v>3.2399999740800002E-6</v>
      </c>
      <c r="AC124" s="268">
        <f>4/277777.78</f>
        <v>1.43999998848E-5</v>
      </c>
      <c r="AD124" s="375">
        <f>Z124*AA124*AB124</f>
        <v>2.1608704695386361E-5</v>
      </c>
      <c r="AE124" s="375">
        <f>Z124*AA124*AC124</f>
        <v>9.6038687535050489E-5</v>
      </c>
      <c r="AG124" s="379" t="e">
        <f t="shared" si="4"/>
        <v>#N/A</v>
      </c>
      <c r="AH124" s="379" t="str">
        <f>IF(ISNUMBER('1_Combustibles fòssils'!J24),'1_Combustibles fòssils'!J24*'1_Combustibles fòssils'!H24,"")</f>
        <v/>
      </c>
      <c r="AI124" s="379" t="str">
        <f t="shared" si="5"/>
        <v/>
      </c>
      <c r="AJ124" s="379" t="e">
        <f t="shared" si="6"/>
        <v>#N/A</v>
      </c>
      <c r="AK124" s="379" t="str">
        <f>IF(ISNUMBER('1_Combustibles fòssils'!K24),'1_Combustibles fòssils'!K24*'1_Combustibles fòssils'!H24,"")</f>
        <v/>
      </c>
      <c r="AL124" s="379" t="str">
        <f t="shared" si="7"/>
        <v/>
      </c>
      <c r="AN124" s="379" t="str">
        <f t="shared" si="8"/>
        <v/>
      </c>
      <c r="AO124" s="250" t="str">
        <f>IF(ISNUMBER('1_Combustibles fòssils'!L24),'1_Combustibles fòssils'!H24*'1_Combustibles fòssils'!L24,IF(ISNUMBER('1_Combustibles fòssils'!I24),AN124,""))</f>
        <v/>
      </c>
    </row>
    <row r="125" spans="1:43" x14ac:dyDescent="0.25">
      <c r="C125" s="246">
        <f>'1_Combustibles fòssils'!G25</f>
        <v>0</v>
      </c>
      <c r="D125" s="247" t="s">
        <v>874</v>
      </c>
      <c r="E125" s="248">
        <f t="shared" si="2"/>
        <v>2.964</v>
      </c>
      <c r="F125" s="248">
        <f t="shared" si="2"/>
        <v>2.964</v>
      </c>
      <c r="G125" s="248">
        <f t="shared" si="2"/>
        <v>2.964</v>
      </c>
      <c r="H125" s="248">
        <f t="shared" si="2"/>
        <v>2.964</v>
      </c>
      <c r="I125" s="248">
        <f t="shared" si="2"/>
        <v>2.964</v>
      </c>
      <c r="J125" s="248">
        <f t="shared" si="2"/>
        <v>2.964</v>
      </c>
      <c r="K125" s="248">
        <f t="shared" si="2"/>
        <v>2.964</v>
      </c>
      <c r="L125" s="248">
        <f t="shared" si="2"/>
        <v>2.964</v>
      </c>
      <c r="M125" s="248">
        <f t="shared" si="2"/>
        <v>2.964</v>
      </c>
      <c r="N125" s="248">
        <f t="shared" si="2"/>
        <v>2.964</v>
      </c>
      <c r="Q125" s="249" t="e">
        <f t="shared" si="3"/>
        <v>#N/A</v>
      </c>
      <c r="R125" s="250" t="str">
        <f>IF(ISNUMBER('1_Combustibles fòssils'!I25),'1_Combustibles fòssils'!I25*'1_Combustibles fòssils'!H25,"")</f>
        <v/>
      </c>
      <c r="Y125" s="268" t="s">
        <v>874</v>
      </c>
      <c r="Z125" s="268" t="s">
        <v>106</v>
      </c>
      <c r="AA125" s="374">
        <f>44.78*277.78/1000</f>
        <v>12.438988399999998</v>
      </c>
      <c r="AB125" s="268">
        <f>0.9/277777.78</f>
        <v>3.2399999740800002E-6</v>
      </c>
      <c r="AC125" s="268">
        <f>4/277777.78</f>
        <v>1.43999998848E-5</v>
      </c>
      <c r="AD125" s="375">
        <f>AA125*AB125</f>
        <v>4.0302322093581415E-5</v>
      </c>
      <c r="AE125" s="375">
        <f>AA125*AC125</f>
        <v>1.7912143152702852E-4</v>
      </c>
      <c r="AG125" s="379" t="e">
        <f t="shared" si="4"/>
        <v>#N/A</v>
      </c>
      <c r="AH125" s="379" t="str">
        <f>IF(ISNUMBER('1_Combustibles fòssils'!J25),'1_Combustibles fòssils'!J25*'1_Combustibles fòssils'!H25,"")</f>
        <v/>
      </c>
      <c r="AI125" s="379" t="str">
        <f t="shared" si="5"/>
        <v/>
      </c>
      <c r="AJ125" s="379" t="e">
        <f t="shared" si="6"/>
        <v>#N/A</v>
      </c>
      <c r="AK125" s="379" t="str">
        <f>IF(ISNUMBER('1_Combustibles fòssils'!K25),'1_Combustibles fòssils'!K25*'1_Combustibles fòssils'!H25,"")</f>
        <v/>
      </c>
      <c r="AL125" s="379" t="str">
        <f t="shared" si="7"/>
        <v/>
      </c>
      <c r="AN125" s="379" t="str">
        <f t="shared" si="8"/>
        <v/>
      </c>
      <c r="AO125" s="250" t="str">
        <f>IF(ISNUMBER('1_Combustibles fòssils'!L25),'1_Combustibles fòssils'!H25*'1_Combustibles fòssils'!L25,IF(ISNUMBER('1_Combustibles fòssils'!I25),AN125,""))</f>
        <v/>
      </c>
    </row>
    <row r="126" spans="1:43" x14ac:dyDescent="0.25">
      <c r="C126" s="246">
        <f>'1_Combustibles fòssils'!G26</f>
        <v>0</v>
      </c>
      <c r="D126" s="247" t="s">
        <v>882</v>
      </c>
      <c r="E126" s="248">
        <f t="shared" si="2"/>
        <v>2.9380000000000002</v>
      </c>
      <c r="F126" s="248">
        <f t="shared" si="2"/>
        <v>2.9380000000000002</v>
      </c>
      <c r="G126" s="248">
        <f t="shared" si="2"/>
        <v>2.9380000000000002</v>
      </c>
      <c r="H126" s="248">
        <f t="shared" si="2"/>
        <v>2.9380000000000002</v>
      </c>
      <c r="I126" s="248">
        <f t="shared" si="2"/>
        <v>2.9380000000000002</v>
      </c>
      <c r="J126" s="248">
        <f t="shared" si="2"/>
        <v>2.9380000000000002</v>
      </c>
      <c r="K126" s="248">
        <f t="shared" si="2"/>
        <v>2.9380000000000002</v>
      </c>
      <c r="L126" s="248">
        <f t="shared" si="2"/>
        <v>2.9380000000000002</v>
      </c>
      <c r="M126" s="248">
        <f t="shared" si="2"/>
        <v>2.9380000000000002</v>
      </c>
      <c r="N126" s="248">
        <f t="shared" si="2"/>
        <v>2.9380000000000002</v>
      </c>
      <c r="Q126" s="249" t="e">
        <f t="shared" si="3"/>
        <v>#N/A</v>
      </c>
      <c r="R126" s="250" t="str">
        <f>IF(ISNUMBER('1_Combustibles fòssils'!I26),'1_Combustibles fòssils'!I26*'1_Combustibles fòssils'!H26,"")</f>
        <v/>
      </c>
      <c r="Y126" s="268" t="s">
        <v>882</v>
      </c>
      <c r="Z126" s="268" t="s">
        <v>106</v>
      </c>
      <c r="AA126" s="374">
        <f>46.2*277.78/1000</f>
        <v>12.833435999999999</v>
      </c>
      <c r="AB126" s="268">
        <f>0.9/277777.78</f>
        <v>3.2399999740800002E-6</v>
      </c>
      <c r="AC126" s="268">
        <f>4/277777.78</f>
        <v>1.43999998848E-5</v>
      </c>
      <c r="AD126" s="375">
        <f t="shared" ref="AD126:AD130" si="12">AA126*AB126</f>
        <v>4.1580332307357336E-5</v>
      </c>
      <c r="AE126" s="375">
        <f t="shared" ref="AE126:AE130" si="13">AA126*AC126</f>
        <v>1.8480147692158817E-4</v>
      </c>
      <c r="AG126" s="379" t="e">
        <f t="shared" si="4"/>
        <v>#N/A</v>
      </c>
      <c r="AH126" s="379" t="str">
        <f>IF(ISNUMBER('1_Combustibles fòssils'!J26),'1_Combustibles fòssils'!J26*'1_Combustibles fòssils'!H26,"")</f>
        <v/>
      </c>
      <c r="AI126" s="379" t="str">
        <f t="shared" si="5"/>
        <v/>
      </c>
      <c r="AJ126" s="379" t="e">
        <f t="shared" si="6"/>
        <v>#N/A</v>
      </c>
      <c r="AK126" s="379" t="str">
        <f>IF(ISNUMBER('1_Combustibles fòssils'!K26),'1_Combustibles fòssils'!K26*'1_Combustibles fòssils'!H26,"")</f>
        <v/>
      </c>
      <c r="AL126" s="379" t="str">
        <f t="shared" si="7"/>
        <v/>
      </c>
      <c r="AN126" s="379" t="str">
        <f t="shared" si="8"/>
        <v/>
      </c>
      <c r="AO126" s="250" t="str">
        <f>IF(ISNUMBER('1_Combustibles fòssils'!L26),'1_Combustibles fòssils'!H26*'1_Combustibles fòssils'!L26,IF(ISNUMBER('1_Combustibles fòssils'!I26),AN126,""))</f>
        <v/>
      </c>
    </row>
    <row r="127" spans="1:43" x14ac:dyDescent="0.25">
      <c r="C127" s="246">
        <f>'1_Combustibles fòssils'!G27</f>
        <v>0</v>
      </c>
      <c r="D127" s="247" t="s">
        <v>876</v>
      </c>
      <c r="E127" s="248">
        <f t="shared" si="2"/>
        <v>3.1269999999999998</v>
      </c>
      <c r="F127" s="248">
        <f t="shared" si="2"/>
        <v>3.1269999999999998</v>
      </c>
      <c r="G127" s="248">
        <f t="shared" si="2"/>
        <v>3.1269999999999998</v>
      </c>
      <c r="H127" s="248">
        <f t="shared" si="2"/>
        <v>3.1269999999999998</v>
      </c>
      <c r="I127" s="248">
        <f t="shared" si="2"/>
        <v>3.1269999999999998</v>
      </c>
      <c r="J127" s="248">
        <f t="shared" si="2"/>
        <v>3.1269999999999998</v>
      </c>
      <c r="K127" s="248">
        <f t="shared" si="2"/>
        <v>3.1269999999999998</v>
      </c>
      <c r="L127" s="248">
        <f t="shared" si="2"/>
        <v>3.1269999999999998</v>
      </c>
      <c r="M127" s="248">
        <f t="shared" si="2"/>
        <v>3.1269999999999998</v>
      </c>
      <c r="N127" s="248">
        <f t="shared" si="2"/>
        <v>3.1269999999999998</v>
      </c>
      <c r="Q127" s="249" t="e">
        <f t="shared" si="3"/>
        <v>#N/A</v>
      </c>
      <c r="R127" s="250" t="str">
        <f>IF(ISNUMBER('1_Combustibles fòssils'!I27),'1_Combustibles fòssils'!I27*'1_Combustibles fòssils'!H27,"")</f>
        <v/>
      </c>
      <c r="Y127" s="268" t="s">
        <v>876</v>
      </c>
      <c r="Z127" s="268" t="s">
        <v>106</v>
      </c>
      <c r="AA127" s="374">
        <f>40.4*277.78/1000</f>
        <v>11.222311999999999</v>
      </c>
      <c r="AB127" s="268">
        <f>1.4/277777.78</f>
        <v>5.0399999596799993E-6</v>
      </c>
      <c r="AC127" s="268">
        <f>0.3/277777.78</f>
        <v>1.0799999913599999E-6</v>
      </c>
      <c r="AD127" s="375">
        <f t="shared" si="12"/>
        <v>5.6560452027516364E-5</v>
      </c>
      <c r="AE127" s="375">
        <f t="shared" si="13"/>
        <v>1.2120096863039222E-5</v>
      </c>
      <c r="AG127" s="379" t="e">
        <f t="shared" si="4"/>
        <v>#N/A</v>
      </c>
      <c r="AH127" s="379" t="str">
        <f>IF(ISNUMBER('1_Combustibles fòssils'!J27),'1_Combustibles fòssils'!J27*'1_Combustibles fòssils'!H27,"")</f>
        <v/>
      </c>
      <c r="AI127" s="379" t="str">
        <f t="shared" si="5"/>
        <v/>
      </c>
      <c r="AJ127" s="379" t="e">
        <f t="shared" si="6"/>
        <v>#N/A</v>
      </c>
      <c r="AK127" s="379" t="str">
        <f>IF(ISNUMBER('1_Combustibles fòssils'!K27),'1_Combustibles fòssils'!K27*'1_Combustibles fòssils'!H27,"")</f>
        <v/>
      </c>
      <c r="AL127" s="379" t="str">
        <f t="shared" si="7"/>
        <v/>
      </c>
      <c r="AN127" s="379" t="str">
        <f t="shared" si="8"/>
        <v/>
      </c>
      <c r="AO127" s="250" t="str">
        <f>IF(ISNUMBER('1_Combustibles fòssils'!L27),'1_Combustibles fòssils'!H27*'1_Combustibles fòssils'!L27,IF(ISNUMBER('1_Combustibles fòssils'!I27),AN127,""))</f>
        <v/>
      </c>
    </row>
    <row r="128" spans="1:43" x14ac:dyDescent="0.25">
      <c r="C128" s="246">
        <f>'1_Combustibles fòssils'!G28</f>
        <v>0</v>
      </c>
      <c r="D128" s="247" t="s">
        <v>877</v>
      </c>
      <c r="E128" s="248">
        <f t="shared" ref="E128:N142" si="14">INDEX($D$84:$M$112,MATCH($D128,$C$84:$C$112,0),MATCH(E$115,$D$83:$M$83,0))</f>
        <v>2.2989999999999999</v>
      </c>
      <c r="F128" s="248">
        <f t="shared" si="14"/>
        <v>2.2989999999999999</v>
      </c>
      <c r="G128" s="248">
        <f t="shared" si="14"/>
        <v>2.2989999999999999</v>
      </c>
      <c r="H128" s="248">
        <f t="shared" si="14"/>
        <v>2.2989999999999999</v>
      </c>
      <c r="I128" s="248">
        <f t="shared" si="14"/>
        <v>2.2989999999999999</v>
      </c>
      <c r="J128" s="248">
        <f t="shared" si="14"/>
        <v>2.0059999999999998</v>
      </c>
      <c r="K128" s="248">
        <f t="shared" si="14"/>
        <v>2.2269999999999999</v>
      </c>
      <c r="L128" s="248">
        <f t="shared" si="14"/>
        <v>2.2269999999999999</v>
      </c>
      <c r="M128" s="248">
        <f t="shared" si="14"/>
        <v>1.9139999999999999</v>
      </c>
      <c r="N128" s="248">
        <f t="shared" si="14"/>
        <v>2.718</v>
      </c>
      <c r="Q128" s="249" t="e">
        <f t="shared" si="3"/>
        <v>#N/A</v>
      </c>
      <c r="R128" s="250" t="str">
        <f>IF(ISNUMBER('1_Combustibles fòssils'!I28),'1_Combustibles fòssils'!I28*'1_Combustibles fòssils'!H28,"")</f>
        <v/>
      </c>
      <c r="Y128" s="268" t="s">
        <v>877</v>
      </c>
      <c r="Z128" s="268" t="s">
        <v>106</v>
      </c>
      <c r="AA128" s="374">
        <f>27.34*277.78/1000</f>
        <v>7.5945051999999995</v>
      </c>
      <c r="AB128" s="268">
        <f>1/277777.78</f>
        <v>3.5999999712E-6</v>
      </c>
      <c r="AC128" s="268">
        <f>0.7/277777.78</f>
        <v>2.5199999798399997E-6</v>
      </c>
      <c r="AD128" s="375">
        <f t="shared" si="12"/>
        <v>2.7340218501278247E-5</v>
      </c>
      <c r="AE128" s="375">
        <f t="shared" si="13"/>
        <v>1.913815295089477E-5</v>
      </c>
      <c r="AG128" s="379" t="e">
        <f t="shared" si="4"/>
        <v>#N/A</v>
      </c>
      <c r="AH128" s="379" t="str">
        <f>IF(ISNUMBER('1_Combustibles fòssils'!J28),'1_Combustibles fòssils'!J28*'1_Combustibles fòssils'!H28,"")</f>
        <v/>
      </c>
      <c r="AI128" s="379" t="str">
        <f t="shared" si="5"/>
        <v/>
      </c>
      <c r="AJ128" s="379" t="e">
        <f t="shared" si="6"/>
        <v>#N/A</v>
      </c>
      <c r="AK128" s="379" t="str">
        <f>IF(ISNUMBER('1_Combustibles fòssils'!K28),'1_Combustibles fòssils'!K28*'1_Combustibles fòssils'!H28,"")</f>
        <v/>
      </c>
      <c r="AL128" s="379" t="str">
        <f t="shared" si="7"/>
        <v/>
      </c>
      <c r="AN128" s="379" t="str">
        <f t="shared" si="8"/>
        <v/>
      </c>
      <c r="AO128" s="250" t="str">
        <f>IF(ISNUMBER('1_Combustibles fòssils'!L28),'1_Combustibles fòssils'!H28*'1_Combustibles fòssils'!L28,IF(ISNUMBER('1_Combustibles fòssils'!I28),AN128,""))</f>
        <v/>
      </c>
    </row>
    <row r="129" spans="3:42" x14ac:dyDescent="0.25">
      <c r="C129" s="246">
        <f>'1_Combustibles fòssils'!G29</f>
        <v>0</v>
      </c>
      <c r="D129" s="247" t="s">
        <v>878</v>
      </c>
      <c r="E129" s="248">
        <f t="shared" si="14"/>
        <v>2.5790000000000002</v>
      </c>
      <c r="F129" s="248">
        <f t="shared" si="14"/>
        <v>2.5790000000000002</v>
      </c>
      <c r="G129" s="248">
        <f t="shared" si="14"/>
        <v>2.5790000000000002</v>
      </c>
      <c r="H129" s="248">
        <f t="shared" si="14"/>
        <v>2.5790000000000002</v>
      </c>
      <c r="I129" s="248">
        <f t="shared" si="14"/>
        <v>2.5790000000000002</v>
      </c>
      <c r="J129" s="248">
        <f t="shared" si="14"/>
        <v>2.4300000000000002</v>
      </c>
      <c r="K129" s="248">
        <f t="shared" si="14"/>
        <v>2.444</v>
      </c>
      <c r="L129" s="248">
        <f t="shared" si="14"/>
        <v>2.444</v>
      </c>
      <c r="M129" s="248">
        <f t="shared" si="14"/>
        <v>2.4289999999999998</v>
      </c>
      <c r="N129" s="248">
        <f t="shared" si="14"/>
        <v>2.4689999999999999</v>
      </c>
      <c r="O129" s="219"/>
      <c r="Q129" s="249" t="e">
        <f t="shared" si="3"/>
        <v>#N/A</v>
      </c>
      <c r="R129" s="250" t="str">
        <f>IF(ISNUMBER('1_Combustibles fòssils'!I29),'1_Combustibles fòssils'!I29*'1_Combustibles fòssils'!H29,"")</f>
        <v/>
      </c>
      <c r="Y129" s="268" t="s">
        <v>878</v>
      </c>
      <c r="Z129" s="268" t="s">
        <v>106</v>
      </c>
      <c r="AA129" s="374">
        <f>24.45*277.78/1000</f>
        <v>6.7917209999999999</v>
      </c>
      <c r="AB129" s="268">
        <f>1/277777.78</f>
        <v>3.5999999712E-6</v>
      </c>
      <c r="AC129" s="268">
        <f t="shared" ref="AC129:AC130" si="15">0.7/277777.78</f>
        <v>2.5199999798399997E-6</v>
      </c>
      <c r="AD129" s="375">
        <f t="shared" si="12"/>
        <v>2.4450195404398433E-5</v>
      </c>
      <c r="AE129" s="375">
        <f t="shared" si="13"/>
        <v>1.7115136783078904E-5</v>
      </c>
      <c r="AG129" s="379" t="e">
        <f t="shared" si="4"/>
        <v>#N/A</v>
      </c>
      <c r="AH129" s="379" t="str">
        <f>IF(ISNUMBER('1_Combustibles fòssils'!J29),'1_Combustibles fòssils'!J29*'1_Combustibles fòssils'!H29,"")</f>
        <v/>
      </c>
      <c r="AI129" s="379" t="str">
        <f t="shared" si="5"/>
        <v/>
      </c>
      <c r="AJ129" s="379" t="e">
        <f t="shared" si="6"/>
        <v>#N/A</v>
      </c>
      <c r="AK129" s="379" t="str">
        <f>IF(ISNUMBER('1_Combustibles fòssils'!K29),'1_Combustibles fòssils'!K29*'1_Combustibles fòssils'!H29,"")</f>
        <v/>
      </c>
      <c r="AL129" s="379" t="str">
        <f t="shared" si="7"/>
        <v/>
      </c>
      <c r="AN129" s="379" t="str">
        <f t="shared" si="8"/>
        <v/>
      </c>
      <c r="AO129" s="250" t="str">
        <f>IF(ISNUMBER('1_Combustibles fòssils'!L29),'1_Combustibles fòssils'!H29*'1_Combustibles fòssils'!L29,IF(ISNUMBER('1_Combustibles fòssils'!I29),AN129,""))</f>
        <v/>
      </c>
    </row>
    <row r="130" spans="3:42" x14ac:dyDescent="0.25">
      <c r="C130" s="246">
        <f>'1_Combustibles fòssils'!G30</f>
        <v>0</v>
      </c>
      <c r="D130" s="247" t="s">
        <v>879</v>
      </c>
      <c r="E130" s="248">
        <f t="shared" si="14"/>
        <v>3.169</v>
      </c>
      <c r="F130" s="248">
        <f t="shared" si="14"/>
        <v>3.169</v>
      </c>
      <c r="G130" s="248">
        <f t="shared" si="14"/>
        <v>3.169</v>
      </c>
      <c r="H130" s="248">
        <f t="shared" si="14"/>
        <v>3.169</v>
      </c>
      <c r="I130" s="248">
        <f t="shared" si="14"/>
        <v>3.169</v>
      </c>
      <c r="J130" s="248">
        <f t="shared" si="14"/>
        <v>3.169</v>
      </c>
      <c r="K130" s="248">
        <f t="shared" si="14"/>
        <v>3.169</v>
      </c>
      <c r="L130" s="248">
        <f t="shared" si="14"/>
        <v>3.169</v>
      </c>
      <c r="M130" s="248">
        <f t="shared" si="14"/>
        <v>3.169</v>
      </c>
      <c r="N130" s="248">
        <f t="shared" si="14"/>
        <v>3.169</v>
      </c>
      <c r="O130" s="219"/>
      <c r="Q130" s="249" t="e">
        <f t="shared" si="3"/>
        <v>#N/A</v>
      </c>
      <c r="R130" s="250" t="str">
        <f>IF(ISNUMBER('1_Combustibles fòssils'!I30),'1_Combustibles fòssils'!I30*'1_Combustibles fòssils'!H30,"")</f>
        <v/>
      </c>
      <c r="Y130" s="268" t="s">
        <v>879</v>
      </c>
      <c r="Z130" s="268" t="s">
        <v>106</v>
      </c>
      <c r="AA130" s="374">
        <f>32.5*277.78/1000</f>
        <v>9.027849999999999</v>
      </c>
      <c r="AB130" s="268">
        <f>1/277777.78</f>
        <v>3.5999999712E-6</v>
      </c>
      <c r="AC130" s="268">
        <f t="shared" si="15"/>
        <v>2.5199999798399997E-6</v>
      </c>
      <c r="AD130" s="375">
        <f t="shared" si="12"/>
        <v>3.2500259739997919E-5</v>
      </c>
      <c r="AE130" s="375">
        <f t="shared" si="13"/>
        <v>2.2750181817998537E-5</v>
      </c>
      <c r="AG130" s="379" t="e">
        <f t="shared" si="4"/>
        <v>#N/A</v>
      </c>
      <c r="AH130" s="379" t="str">
        <f>IF(ISNUMBER('1_Combustibles fòssils'!J30),'1_Combustibles fòssils'!J30*'1_Combustibles fòssils'!H30,"")</f>
        <v/>
      </c>
      <c r="AI130" s="379" t="str">
        <f t="shared" si="5"/>
        <v/>
      </c>
      <c r="AJ130" s="379" t="e">
        <f t="shared" si="6"/>
        <v>#N/A</v>
      </c>
      <c r="AK130" s="379" t="str">
        <f>IF(ISNUMBER('1_Combustibles fòssils'!K30),'1_Combustibles fòssils'!K30*'1_Combustibles fòssils'!H30,"")</f>
        <v/>
      </c>
      <c r="AL130" s="379" t="str">
        <f t="shared" si="7"/>
        <v/>
      </c>
      <c r="AN130" s="379" t="str">
        <f t="shared" si="8"/>
        <v/>
      </c>
      <c r="AO130" s="250" t="str">
        <f>IF(ISNUMBER('1_Combustibles fòssils'!L30),'1_Combustibles fòssils'!H30*'1_Combustibles fòssils'!L30,IF(ISNUMBER('1_Combustibles fòssils'!I30),AN130,""))</f>
        <v/>
      </c>
    </row>
    <row r="131" spans="3:42" x14ac:dyDescent="0.25">
      <c r="C131" s="246">
        <f>'1_Combustibles fòssils'!G31</f>
        <v>0</v>
      </c>
      <c r="D131" s="252" t="s">
        <v>26</v>
      </c>
      <c r="E131" s="248">
        <f t="shared" si="14"/>
        <v>2.2050000000000001</v>
      </c>
      <c r="F131" s="248">
        <f t="shared" si="14"/>
        <v>2.2010000000000001</v>
      </c>
      <c r="G131" s="248">
        <f t="shared" si="14"/>
        <v>2.2050000000000001</v>
      </c>
      <c r="H131" s="248">
        <f t="shared" si="14"/>
        <v>2.2050000000000001</v>
      </c>
      <c r="I131" s="248">
        <f t="shared" si="14"/>
        <v>2.2050000000000001</v>
      </c>
      <c r="J131" s="248">
        <f t="shared" si="14"/>
        <v>2.1960000000000002</v>
      </c>
      <c r="K131" s="248">
        <f t="shared" si="14"/>
        <v>2.1800000000000002</v>
      </c>
      <c r="L131" s="248">
        <f t="shared" si="14"/>
        <v>2.157</v>
      </c>
      <c r="M131" s="248" t="str">
        <f t="shared" si="14"/>
        <v>-</v>
      </c>
      <c r="N131" s="248" t="str">
        <f t="shared" si="14"/>
        <v>-</v>
      </c>
      <c r="Q131" s="249" t="e">
        <f t="shared" si="3"/>
        <v>#N/A</v>
      </c>
      <c r="R131" s="250" t="str">
        <f>IF(ISNUMBER('1_Combustibles fòssils'!I31),'1_Combustibles fòssils'!I31*'1_Combustibles fòssils'!H31,"")</f>
        <v/>
      </c>
      <c r="Y131" s="268" t="s">
        <v>26</v>
      </c>
      <c r="Z131" s="268">
        <v>0.77500000000000002</v>
      </c>
      <c r="AA131" s="374">
        <f>44.3*277.78/1000</f>
        <v>12.305653999999999</v>
      </c>
      <c r="AB131" s="268">
        <f>3.8/277777.78</f>
        <v>1.3679999890559999E-5</v>
      </c>
      <c r="AC131" s="268">
        <f>5.7/277777.78</f>
        <v>2.051999983584E-5</v>
      </c>
      <c r="AD131" s="375">
        <f>Z131*AA131*AB131</f>
        <v>1.3046454266428363E-4</v>
      </c>
      <c r="AE131" s="375">
        <f>Z131*AA131*AC131</f>
        <v>1.9569681399642544E-4</v>
      </c>
      <c r="AG131" s="379" t="e">
        <f t="shared" si="4"/>
        <v>#N/A</v>
      </c>
      <c r="AH131" s="379" t="str">
        <f>IF(ISNUMBER('1_Combustibles fòssils'!J31),'1_Combustibles fòssils'!J31*'1_Combustibles fòssils'!H31,"")</f>
        <v/>
      </c>
      <c r="AI131" s="379" t="str">
        <f t="shared" si="5"/>
        <v/>
      </c>
      <c r="AJ131" s="379" t="e">
        <f t="shared" si="6"/>
        <v>#N/A</v>
      </c>
      <c r="AK131" s="379" t="str">
        <f>IF(ISNUMBER('1_Combustibles fòssils'!K31),'1_Combustibles fòssils'!K31*'1_Combustibles fòssils'!H31,"")</f>
        <v/>
      </c>
      <c r="AL131" s="379" t="str">
        <f t="shared" si="7"/>
        <v/>
      </c>
      <c r="AN131" s="379" t="str">
        <f t="shared" si="8"/>
        <v/>
      </c>
      <c r="AO131" s="250" t="str">
        <f>IF(ISNUMBER('1_Combustibles fòssils'!L31),'1_Combustibles fòssils'!H31*'1_Combustibles fòssils'!L31,IF(ISNUMBER('1_Combustibles fòssils'!I31),AN131,""))</f>
        <v/>
      </c>
    </row>
    <row r="132" spans="3:42" x14ac:dyDescent="0.25">
      <c r="C132" s="246">
        <f>'1_Combustibles fòssils'!G32</f>
        <v>0</v>
      </c>
      <c r="D132" s="252" t="s">
        <v>880</v>
      </c>
      <c r="E132" s="248">
        <f t="shared" si="14"/>
        <v>2.4929999999999999</v>
      </c>
      <c r="F132" s="248">
        <f t="shared" si="14"/>
        <v>2.4670000000000001</v>
      </c>
      <c r="G132" s="248">
        <f t="shared" si="14"/>
        <v>2.544</v>
      </c>
      <c r="H132" s="248">
        <f t="shared" si="14"/>
        <v>2.544</v>
      </c>
      <c r="I132" s="248">
        <f t="shared" si="14"/>
        <v>2.544</v>
      </c>
      <c r="J132" s="248">
        <f t="shared" si="14"/>
        <v>2.5390000000000001</v>
      </c>
      <c r="K132" s="248">
        <f t="shared" si="14"/>
        <v>2.52</v>
      </c>
      <c r="L132" s="248">
        <f t="shared" si="14"/>
        <v>2.4929999999999999</v>
      </c>
      <c r="M132" s="248" t="str">
        <f t="shared" si="14"/>
        <v>-</v>
      </c>
      <c r="N132" s="248" t="str">
        <f t="shared" si="14"/>
        <v>-</v>
      </c>
      <c r="Q132" s="249" t="e">
        <f t="shared" si="3"/>
        <v>#N/A</v>
      </c>
      <c r="R132" s="250" t="str">
        <f>IF(ISNUMBER('1_Combustibles fòssils'!I32),'1_Combustibles fòssils'!I32*'1_Combustibles fòssils'!H32,"")</f>
        <v/>
      </c>
      <c r="Y132" s="268" t="s">
        <v>880</v>
      </c>
      <c r="Z132" s="268">
        <v>0.84499999999999997</v>
      </c>
      <c r="AA132" s="374">
        <f>43*277.78/1000</f>
        <v>11.94454</v>
      </c>
      <c r="AB132" s="268">
        <f>3.9/277777.78</f>
        <v>1.4039999887679998E-5</v>
      </c>
      <c r="AC132" s="268">
        <f>3.9/277777.78</f>
        <v>1.4039999887679998E-5</v>
      </c>
      <c r="AD132" s="375">
        <f t="shared" ref="AD132:AD141" si="16">Z132*AA132*AB132</f>
        <v>1.417076325183389E-4</v>
      </c>
      <c r="AE132" s="375">
        <f t="shared" ref="AE132:AE141" si="17">Z132*AA132*AC132</f>
        <v>1.417076325183389E-4</v>
      </c>
      <c r="AG132" s="379" t="e">
        <f t="shared" si="4"/>
        <v>#N/A</v>
      </c>
      <c r="AH132" s="379" t="str">
        <f>IF(ISNUMBER('1_Combustibles fòssils'!J32),'1_Combustibles fòssils'!J32*'1_Combustibles fòssils'!H32,"")</f>
        <v/>
      </c>
      <c r="AI132" s="379" t="str">
        <f t="shared" si="5"/>
        <v/>
      </c>
      <c r="AJ132" s="379" t="e">
        <f t="shared" si="6"/>
        <v>#N/A</v>
      </c>
      <c r="AK132" s="379" t="str">
        <f>IF(ISNUMBER('1_Combustibles fòssils'!K32),'1_Combustibles fòssils'!K32*'1_Combustibles fòssils'!H32,"")</f>
        <v/>
      </c>
      <c r="AL132" s="379" t="str">
        <f t="shared" si="7"/>
        <v/>
      </c>
      <c r="AN132" s="379" t="str">
        <f t="shared" si="8"/>
        <v/>
      </c>
      <c r="AO132" s="250" t="str">
        <f>IF(ISNUMBER('1_Combustibles fòssils'!L32),'1_Combustibles fòssils'!H32*'1_Combustibles fòssils'!L32,IF(ISNUMBER('1_Combustibles fòssils'!I32),AN132,""))</f>
        <v/>
      </c>
    </row>
    <row r="133" spans="3:42" x14ac:dyDescent="0.25">
      <c r="C133" s="246">
        <f>'1_Combustibles fòssils'!G33</f>
        <v>0</v>
      </c>
      <c r="D133" s="247" t="s">
        <v>25</v>
      </c>
      <c r="E133" s="248">
        <f t="shared" si="14"/>
        <v>2.1800000000000002</v>
      </c>
      <c r="F133" s="248">
        <f t="shared" si="14"/>
        <v>2.1800000000000002</v>
      </c>
      <c r="G133" s="248">
        <f t="shared" si="14"/>
        <v>2.1800000000000002</v>
      </c>
      <c r="H133" s="248">
        <f t="shared" si="14"/>
        <v>2.1800000000000002</v>
      </c>
      <c r="I133" s="248">
        <f t="shared" si="14"/>
        <v>2.1800000000000002</v>
      </c>
      <c r="J133" s="248">
        <f t="shared" si="14"/>
        <v>2.1800000000000002</v>
      </c>
      <c r="K133" s="248">
        <f t="shared" si="14"/>
        <v>2.1800000000000002</v>
      </c>
      <c r="L133" s="248">
        <f t="shared" si="14"/>
        <v>2.1800000000000002</v>
      </c>
      <c r="M133" s="248">
        <f t="shared" si="14"/>
        <v>2.1800000000000002</v>
      </c>
      <c r="N133" s="248">
        <f t="shared" si="14"/>
        <v>2.2440000000000002</v>
      </c>
      <c r="Q133" s="249" t="e">
        <f t="shared" si="3"/>
        <v>#N/A</v>
      </c>
      <c r="R133" s="250" t="str">
        <f>IF(ISNUMBER('1_Combustibles fòssils'!I33),'1_Combustibles fòssils'!I33*'1_Combustibles fòssils'!H33,"")</f>
        <v/>
      </c>
      <c r="X133">
        <v>0.95</v>
      </c>
      <c r="Y133" s="268" t="s">
        <v>25</v>
      </c>
      <c r="Z133" s="268">
        <v>0.77500000000000002</v>
      </c>
      <c r="AA133" s="374">
        <f>44.3*277.78/1000</f>
        <v>12.305653999999999</v>
      </c>
      <c r="AB133" s="268">
        <f>AB131</f>
        <v>1.3679999890559999E-5</v>
      </c>
      <c r="AC133" s="268">
        <f>AC131</f>
        <v>2.051999983584E-5</v>
      </c>
      <c r="AD133" s="375">
        <f t="shared" si="16"/>
        <v>1.3046454266428363E-4</v>
      </c>
      <c r="AE133" s="375">
        <f t="shared" si="17"/>
        <v>1.9569681399642544E-4</v>
      </c>
      <c r="AG133" s="379" t="e">
        <f t="shared" si="4"/>
        <v>#N/A</v>
      </c>
      <c r="AH133" s="379" t="str">
        <f>IF(ISNUMBER('1_Combustibles fòssils'!J33),'1_Combustibles fòssils'!J33*'1_Combustibles fòssils'!H33,"")</f>
        <v/>
      </c>
      <c r="AI133" s="379" t="str">
        <f t="shared" si="5"/>
        <v/>
      </c>
      <c r="AJ133" s="379" t="e">
        <f t="shared" si="6"/>
        <v>#N/A</v>
      </c>
      <c r="AK133" s="379" t="str">
        <f>IF(ISNUMBER('1_Combustibles fòssils'!K33),'1_Combustibles fòssils'!K33*'1_Combustibles fòssils'!H33,"")</f>
        <v/>
      </c>
      <c r="AL133" s="379" t="str">
        <f t="shared" si="7"/>
        <v/>
      </c>
      <c r="AN133" s="379" t="str">
        <f t="shared" si="8"/>
        <v/>
      </c>
      <c r="AO133" s="250" t="str">
        <f>IF(ISNUMBER('1_Combustibles fòssils'!L33),'1_Combustibles fòssils'!H33*'1_Combustibles fòssils'!L33,IF(ISNUMBER('1_Combustibles fòssils'!I33),AN133,""))</f>
        <v/>
      </c>
    </row>
    <row r="134" spans="3:42" x14ac:dyDescent="0.25">
      <c r="C134" s="246">
        <f>'1_Combustibles fòssils'!G34</f>
        <v>0</v>
      </c>
      <c r="D134" s="247" t="s">
        <v>91</v>
      </c>
      <c r="E134" s="248">
        <f t="shared" si="14"/>
        <v>2.0649999999999999</v>
      </c>
      <c r="F134" s="248">
        <f t="shared" si="14"/>
        <v>2.0649999999999999</v>
      </c>
      <c r="G134" s="248">
        <f t="shared" si="14"/>
        <v>2.0649999999999999</v>
      </c>
      <c r="H134" s="248">
        <f t="shared" si="14"/>
        <v>2.0649999999999999</v>
      </c>
      <c r="I134" s="248">
        <f t="shared" si="14"/>
        <v>2.0649999999999999</v>
      </c>
      <c r="J134" s="248">
        <f t="shared" si="14"/>
        <v>2.0649999999999999</v>
      </c>
      <c r="K134" s="248">
        <f t="shared" si="14"/>
        <v>2.0649999999999999</v>
      </c>
      <c r="L134" s="248">
        <f t="shared" si="14"/>
        <v>2.0649999999999999</v>
      </c>
      <c r="M134" s="248">
        <f t="shared" si="14"/>
        <v>2.0649999999999999</v>
      </c>
      <c r="N134" s="248">
        <f t="shared" si="14"/>
        <v>2.125</v>
      </c>
      <c r="Q134" s="249" t="e">
        <f t="shared" si="3"/>
        <v>#N/A</v>
      </c>
      <c r="R134" s="250" t="str">
        <f>IF(ISNUMBER('1_Combustibles fòssils'!I34),'1_Combustibles fòssils'!I34*'1_Combustibles fòssils'!H34,"")</f>
        <v/>
      </c>
      <c r="X134">
        <v>0.9</v>
      </c>
      <c r="Y134" s="268" t="s">
        <v>91</v>
      </c>
      <c r="Z134" s="268">
        <v>0.77500000000000002</v>
      </c>
      <c r="AA134" s="374">
        <f t="shared" ref="AA134:AA136" si="18">44.3*277.78/1000</f>
        <v>12.305653999999999</v>
      </c>
      <c r="AB134" s="268">
        <f>AB$133*$X134/$X$133</f>
        <v>1.2959999896319999E-5</v>
      </c>
      <c r="AC134" s="268">
        <f>AC$133*$X134/$X$133</f>
        <v>1.9439999844480001E-5</v>
      </c>
      <c r="AD134" s="375">
        <f t="shared" si="16"/>
        <v>1.2359798778721607E-4</v>
      </c>
      <c r="AE134" s="375">
        <f t="shared" si="17"/>
        <v>1.8539698168082411E-4</v>
      </c>
      <c r="AG134" s="379" t="e">
        <f t="shared" si="4"/>
        <v>#N/A</v>
      </c>
      <c r="AH134" s="379" t="str">
        <f>IF(ISNUMBER('1_Combustibles fòssils'!J34),'1_Combustibles fòssils'!J34*'1_Combustibles fòssils'!H34,"")</f>
        <v/>
      </c>
      <c r="AI134" s="379" t="str">
        <f t="shared" si="5"/>
        <v/>
      </c>
      <c r="AJ134" s="379" t="e">
        <f t="shared" si="6"/>
        <v>#N/A</v>
      </c>
      <c r="AK134" s="379" t="str">
        <f>IF(ISNUMBER('1_Combustibles fòssils'!K34),'1_Combustibles fòssils'!K34*'1_Combustibles fòssils'!H34,"")</f>
        <v/>
      </c>
      <c r="AL134" s="379" t="str">
        <f t="shared" si="7"/>
        <v/>
      </c>
      <c r="AN134" s="379" t="str">
        <f t="shared" si="8"/>
        <v/>
      </c>
      <c r="AO134" s="250" t="str">
        <f>IF(ISNUMBER('1_Combustibles fòssils'!L34),'1_Combustibles fòssils'!H34*'1_Combustibles fòssils'!L34,IF(ISNUMBER('1_Combustibles fòssils'!I34),AN134,""))</f>
        <v/>
      </c>
    </row>
    <row r="135" spans="3:42" x14ac:dyDescent="0.25">
      <c r="C135" s="246">
        <f>'1_Combustibles fòssils'!G35</f>
        <v>0</v>
      </c>
      <c r="D135" s="247" t="s">
        <v>57</v>
      </c>
      <c r="E135" s="248">
        <f t="shared" si="14"/>
        <v>0.34399999999999997</v>
      </c>
      <c r="F135" s="248">
        <f t="shared" si="14"/>
        <v>0.34399999999999997</v>
      </c>
      <c r="G135" s="248">
        <f t="shared" si="14"/>
        <v>0.34399999999999997</v>
      </c>
      <c r="H135" s="248">
        <f t="shared" si="14"/>
        <v>0.34399999999999997</v>
      </c>
      <c r="I135" s="248">
        <f t="shared" si="14"/>
        <v>0.34399999999999997</v>
      </c>
      <c r="J135" s="248">
        <f t="shared" si="14"/>
        <v>0.34399999999999997</v>
      </c>
      <c r="K135" s="248">
        <f t="shared" si="14"/>
        <v>0.34399999999999997</v>
      </c>
      <c r="L135" s="248">
        <f t="shared" si="14"/>
        <v>0.34399999999999997</v>
      </c>
      <c r="M135" s="248">
        <f t="shared" si="14"/>
        <v>0.34399999999999997</v>
      </c>
      <c r="N135" s="248">
        <f t="shared" si="14"/>
        <v>0.35399999999999998</v>
      </c>
      <c r="Q135" s="249" t="e">
        <f t="shared" si="3"/>
        <v>#N/A</v>
      </c>
      <c r="R135" s="250" t="str">
        <f>IF(ISNUMBER('1_Combustibles fòssils'!I35),'1_Combustibles fòssils'!I35*'1_Combustibles fòssils'!H35,"")</f>
        <v/>
      </c>
      <c r="X135">
        <v>0.15</v>
      </c>
      <c r="Y135" s="268" t="s">
        <v>57</v>
      </c>
      <c r="Z135" s="268">
        <v>0.77500000000000002</v>
      </c>
      <c r="AA135" s="374">
        <f t="shared" si="18"/>
        <v>12.305653999999999</v>
      </c>
      <c r="AB135" s="268">
        <f t="shared" ref="AB135:AC136" si="19">AB$133*$X135/$X$133</f>
        <v>2.1599999827199998E-6</v>
      </c>
      <c r="AC135" s="268">
        <f t="shared" si="19"/>
        <v>3.2399999740800002E-6</v>
      </c>
      <c r="AD135" s="375">
        <f t="shared" si="16"/>
        <v>2.0599664631202678E-5</v>
      </c>
      <c r="AE135" s="375">
        <f t="shared" si="17"/>
        <v>3.0899496946804016E-5</v>
      </c>
      <c r="AG135" s="379" t="e">
        <f t="shared" si="4"/>
        <v>#N/A</v>
      </c>
      <c r="AH135" s="379" t="str">
        <f>IF(ISNUMBER('1_Combustibles fòssils'!J35),'1_Combustibles fòssils'!J35*'1_Combustibles fòssils'!H35,"")</f>
        <v/>
      </c>
      <c r="AI135" s="379" t="str">
        <f t="shared" si="5"/>
        <v/>
      </c>
      <c r="AJ135" s="379" t="e">
        <f t="shared" si="6"/>
        <v>#N/A</v>
      </c>
      <c r="AK135" s="379" t="str">
        <f>IF(ISNUMBER('1_Combustibles fòssils'!K35),'1_Combustibles fòssils'!K35*'1_Combustibles fòssils'!H35,"")</f>
        <v/>
      </c>
      <c r="AL135" s="379" t="str">
        <f t="shared" si="7"/>
        <v/>
      </c>
      <c r="AN135" s="379" t="str">
        <f t="shared" si="8"/>
        <v/>
      </c>
      <c r="AO135" s="250" t="str">
        <f>IF(ISNUMBER('1_Combustibles fòssils'!L35),'1_Combustibles fòssils'!H35*'1_Combustibles fòssils'!L35,IF(ISNUMBER('1_Combustibles fòssils'!I35),AN135,""))</f>
        <v/>
      </c>
    </row>
    <row r="136" spans="3:42" x14ac:dyDescent="0.25">
      <c r="C136" s="246">
        <f>'1_Combustibles fòssils'!G36</f>
        <v>0</v>
      </c>
      <c r="D136" s="247" t="s">
        <v>62</v>
      </c>
      <c r="E136" s="248">
        <f t="shared" si="14"/>
        <v>0</v>
      </c>
      <c r="F136" s="248">
        <f t="shared" si="14"/>
        <v>0</v>
      </c>
      <c r="G136" s="248">
        <f t="shared" si="14"/>
        <v>0</v>
      </c>
      <c r="H136" s="248">
        <f t="shared" si="14"/>
        <v>0</v>
      </c>
      <c r="I136" s="248">
        <f t="shared" si="14"/>
        <v>0</v>
      </c>
      <c r="J136" s="248">
        <f t="shared" si="14"/>
        <v>0</v>
      </c>
      <c r="K136" s="248">
        <f t="shared" si="14"/>
        <v>0</v>
      </c>
      <c r="L136" s="248">
        <f t="shared" si="14"/>
        <v>0</v>
      </c>
      <c r="M136" s="248">
        <f t="shared" si="14"/>
        <v>0</v>
      </c>
      <c r="N136" s="248">
        <f t="shared" si="14"/>
        <v>0</v>
      </c>
      <c r="Q136" s="249" t="e">
        <f t="shared" si="3"/>
        <v>#N/A</v>
      </c>
      <c r="R136" s="250" t="str">
        <f>IF(ISNUMBER('1_Combustibles fòssils'!I36),'1_Combustibles fòssils'!I36*'1_Combustibles fòssils'!H36,"")</f>
        <v/>
      </c>
      <c r="X136">
        <v>0</v>
      </c>
      <c r="Y136" s="268" t="s">
        <v>62</v>
      </c>
      <c r="Z136" s="268">
        <v>0.77500000000000002</v>
      </c>
      <c r="AA136" s="374">
        <f t="shared" si="18"/>
        <v>12.305653999999999</v>
      </c>
      <c r="AB136" s="268">
        <f t="shared" si="19"/>
        <v>0</v>
      </c>
      <c r="AC136" s="268">
        <f t="shared" si="19"/>
        <v>0</v>
      </c>
      <c r="AD136" s="375">
        <f t="shared" si="16"/>
        <v>0</v>
      </c>
      <c r="AE136" s="375">
        <f t="shared" si="17"/>
        <v>0</v>
      </c>
      <c r="AG136" s="379" t="e">
        <f t="shared" si="4"/>
        <v>#N/A</v>
      </c>
      <c r="AH136" s="379" t="str">
        <f>IF(ISNUMBER('1_Combustibles fòssils'!J36),'1_Combustibles fòssils'!J36*'1_Combustibles fòssils'!H36,"")</f>
        <v/>
      </c>
      <c r="AI136" s="379" t="str">
        <f t="shared" si="5"/>
        <v/>
      </c>
      <c r="AJ136" s="379" t="e">
        <f t="shared" si="6"/>
        <v>#N/A</v>
      </c>
      <c r="AK136" s="379" t="str">
        <f>IF(ISNUMBER('1_Combustibles fòssils'!K36),'1_Combustibles fòssils'!K36*'1_Combustibles fòssils'!H36,"")</f>
        <v/>
      </c>
      <c r="AL136" s="379" t="str">
        <f t="shared" si="7"/>
        <v/>
      </c>
      <c r="AN136" s="379" t="str">
        <f t="shared" si="8"/>
        <v/>
      </c>
      <c r="AO136" s="250" t="str">
        <f>IF(ISNUMBER('1_Combustibles fòssils'!L36),'1_Combustibles fòssils'!H36*'1_Combustibles fòssils'!L36,IF(ISNUMBER('1_Combustibles fòssils'!I36),AN136,""))</f>
        <v/>
      </c>
    </row>
    <row r="137" spans="3:42" x14ac:dyDescent="0.25">
      <c r="C137" s="246">
        <f>'1_Combustibles fòssils'!G37</f>
        <v>0</v>
      </c>
      <c r="D137" s="247" t="s">
        <v>65</v>
      </c>
      <c r="E137" s="248">
        <f t="shared" si="14"/>
        <v>2.4670000000000001</v>
      </c>
      <c r="F137" s="248">
        <f t="shared" si="14"/>
        <v>2.4670000000000001</v>
      </c>
      <c r="G137" s="248">
        <f t="shared" si="14"/>
        <v>2.4670000000000001</v>
      </c>
      <c r="H137" s="248">
        <f t="shared" si="14"/>
        <v>2.4670000000000001</v>
      </c>
      <c r="I137" s="248">
        <f t="shared" si="14"/>
        <v>2.4670000000000001</v>
      </c>
      <c r="J137" s="248">
        <f t="shared" si="14"/>
        <v>2.4670000000000001</v>
      </c>
      <c r="K137" s="248">
        <f t="shared" si="14"/>
        <v>2.4670000000000001</v>
      </c>
      <c r="L137" s="248">
        <f t="shared" si="14"/>
        <v>2.4670000000000001</v>
      </c>
      <c r="M137" s="248">
        <f t="shared" si="14"/>
        <v>2.4670000000000001</v>
      </c>
      <c r="N137" s="248">
        <f t="shared" si="14"/>
        <v>2.456</v>
      </c>
      <c r="Q137" s="249" t="e">
        <f t="shared" si="3"/>
        <v>#N/A</v>
      </c>
      <c r="R137" s="250" t="str">
        <f>IF(ISNUMBER('1_Combustibles fòssils'!I37),'1_Combustibles fòssils'!I37*'1_Combustibles fòssils'!H37,"")</f>
        <v/>
      </c>
      <c r="X137">
        <v>0.93</v>
      </c>
      <c r="Y137" s="268" t="s">
        <v>65</v>
      </c>
      <c r="Z137" s="268">
        <v>0.84499999999999997</v>
      </c>
      <c r="AA137" s="374">
        <f>43*277.78/1000</f>
        <v>11.94454</v>
      </c>
      <c r="AB137" s="268">
        <f>AB132</f>
        <v>1.4039999887679998E-5</v>
      </c>
      <c r="AC137" s="268">
        <f>AC132</f>
        <v>1.4039999887679998E-5</v>
      </c>
      <c r="AD137" s="375">
        <f t="shared" si="16"/>
        <v>1.417076325183389E-4</v>
      </c>
      <c r="AE137" s="375">
        <f t="shared" si="17"/>
        <v>1.417076325183389E-4</v>
      </c>
      <c r="AG137" s="379" t="e">
        <f t="shared" si="4"/>
        <v>#N/A</v>
      </c>
      <c r="AH137" s="379" t="str">
        <f>IF(ISNUMBER('1_Combustibles fòssils'!J37),'1_Combustibles fòssils'!J37*'1_Combustibles fòssils'!H37,"")</f>
        <v/>
      </c>
      <c r="AI137" s="379" t="str">
        <f t="shared" si="5"/>
        <v/>
      </c>
      <c r="AJ137" s="379" t="e">
        <f t="shared" si="6"/>
        <v>#N/A</v>
      </c>
      <c r="AK137" s="379" t="str">
        <f>IF(ISNUMBER('1_Combustibles fòssils'!K37),'1_Combustibles fòssils'!K37*'1_Combustibles fòssils'!H37,"")</f>
        <v/>
      </c>
      <c r="AL137" s="379" t="str">
        <f t="shared" si="7"/>
        <v/>
      </c>
      <c r="AN137" s="379" t="str">
        <f t="shared" si="8"/>
        <v/>
      </c>
      <c r="AO137" s="250" t="str">
        <f>IF(ISNUMBER('1_Combustibles fòssils'!L37),'1_Combustibles fòssils'!H37*'1_Combustibles fòssils'!L37,IF(ISNUMBER('1_Combustibles fòssils'!I37),AN137,""))</f>
        <v/>
      </c>
    </row>
    <row r="138" spans="3:42" x14ac:dyDescent="0.25">
      <c r="C138" s="246">
        <f>'1_Combustibles fòssils'!G38</f>
        <v>0</v>
      </c>
      <c r="D138" s="247" t="s">
        <v>67</v>
      </c>
      <c r="E138" s="248">
        <f t="shared" si="14"/>
        <v>2.387</v>
      </c>
      <c r="F138" s="248">
        <f t="shared" si="14"/>
        <v>2.387</v>
      </c>
      <c r="G138" s="248">
        <f t="shared" si="14"/>
        <v>2.387</v>
      </c>
      <c r="H138" s="248">
        <f t="shared" si="14"/>
        <v>2.387</v>
      </c>
      <c r="I138" s="248">
        <f t="shared" si="14"/>
        <v>2.387</v>
      </c>
      <c r="J138" s="248">
        <f t="shared" si="14"/>
        <v>2.387</v>
      </c>
      <c r="K138" s="248">
        <f t="shared" si="14"/>
        <v>2.387</v>
      </c>
      <c r="L138" s="248">
        <f t="shared" si="14"/>
        <v>2.387</v>
      </c>
      <c r="M138" s="248">
        <f t="shared" si="14"/>
        <v>2.387</v>
      </c>
      <c r="N138" s="248">
        <f t="shared" si="14"/>
        <v>2.3769999999999998</v>
      </c>
      <c r="Q138" s="249" t="e">
        <f t="shared" si="3"/>
        <v>#N/A</v>
      </c>
      <c r="R138" s="250" t="str">
        <f>IF(ISNUMBER('1_Combustibles fòssils'!I38),'1_Combustibles fòssils'!I38*'1_Combustibles fòssils'!H38,"")</f>
        <v/>
      </c>
      <c r="X138">
        <v>0.9</v>
      </c>
      <c r="Y138" s="268" t="s">
        <v>67</v>
      </c>
      <c r="Z138" s="268">
        <v>0.84499999999999997</v>
      </c>
      <c r="AA138" s="374">
        <f t="shared" ref="AA138:AA141" si="20">43*277.78/1000</f>
        <v>11.94454</v>
      </c>
      <c r="AB138" s="268">
        <f>AB$137*$X138/$X$137</f>
        <v>1.3587096665496773E-5</v>
      </c>
      <c r="AC138" s="268">
        <f>AC$137*$X138/$X$137</f>
        <v>1.3587096665496773E-5</v>
      </c>
      <c r="AD138" s="375">
        <f t="shared" si="16"/>
        <v>1.3713641856613444E-4</v>
      </c>
      <c r="AE138" s="375">
        <f t="shared" si="17"/>
        <v>1.3713641856613444E-4</v>
      </c>
      <c r="AG138" s="379" t="e">
        <f t="shared" si="4"/>
        <v>#N/A</v>
      </c>
      <c r="AH138" s="379" t="str">
        <f>IF(ISNUMBER('1_Combustibles fòssils'!J38),'1_Combustibles fòssils'!J38*'1_Combustibles fòssils'!H38,"")</f>
        <v/>
      </c>
      <c r="AI138" s="379" t="str">
        <f t="shared" si="5"/>
        <v/>
      </c>
      <c r="AJ138" s="379" t="e">
        <f t="shared" si="6"/>
        <v>#N/A</v>
      </c>
      <c r="AK138" s="379" t="str">
        <f>IF(ISNUMBER('1_Combustibles fòssils'!K38),'1_Combustibles fòssils'!K38*'1_Combustibles fòssils'!H38,"")</f>
        <v/>
      </c>
      <c r="AL138" s="379" t="str">
        <f t="shared" si="7"/>
        <v/>
      </c>
      <c r="AN138" s="379" t="str">
        <f t="shared" si="8"/>
        <v/>
      </c>
      <c r="AO138" s="250" t="str">
        <f>IF(ISNUMBER('1_Combustibles fòssils'!L38),'1_Combustibles fòssils'!H38*'1_Combustibles fòssils'!L38,IF(ISNUMBER('1_Combustibles fòssils'!I38),AN138,""))</f>
        <v/>
      </c>
    </row>
    <row r="139" spans="3:42" x14ac:dyDescent="0.25">
      <c r="C139" s="246">
        <f>'1_Combustibles fòssils'!G39</f>
        <v>0</v>
      </c>
      <c r="D139" s="247" t="s">
        <v>68</v>
      </c>
      <c r="E139" s="248">
        <f t="shared" si="14"/>
        <v>2.1219999999999999</v>
      </c>
      <c r="F139" s="248">
        <f t="shared" si="14"/>
        <v>2.1219999999999999</v>
      </c>
      <c r="G139" s="248">
        <f t="shared" si="14"/>
        <v>2.1219999999999999</v>
      </c>
      <c r="H139" s="248">
        <f t="shared" si="14"/>
        <v>2.1219999999999999</v>
      </c>
      <c r="I139" s="248">
        <f t="shared" si="14"/>
        <v>2.1219999999999999</v>
      </c>
      <c r="J139" s="248">
        <f t="shared" si="14"/>
        <v>2.1219999999999999</v>
      </c>
      <c r="K139" s="248">
        <f t="shared" si="14"/>
        <v>2.1219999999999999</v>
      </c>
      <c r="L139" s="248">
        <f t="shared" si="14"/>
        <v>2.1219999999999999</v>
      </c>
      <c r="M139" s="248">
        <f t="shared" si="14"/>
        <v>2.1219999999999999</v>
      </c>
      <c r="N139" s="248">
        <f t="shared" si="14"/>
        <v>2.113</v>
      </c>
      <c r="Q139" s="249" t="e">
        <f t="shared" si="3"/>
        <v>#N/A</v>
      </c>
      <c r="R139" s="250" t="str">
        <f>IF(ISNUMBER('1_Combustibles fòssils'!I39),'1_Combustibles fòssils'!I39*'1_Combustibles fòssils'!H39,"")</f>
        <v/>
      </c>
      <c r="X139">
        <v>0.8</v>
      </c>
      <c r="Y139" s="268" t="s">
        <v>68</v>
      </c>
      <c r="Z139" s="268">
        <v>0.84499999999999997</v>
      </c>
      <c r="AA139" s="374">
        <f t="shared" si="20"/>
        <v>11.94454</v>
      </c>
      <c r="AB139" s="268">
        <f t="shared" ref="AB139:AC141" si="21">AB$137*$X139/$X$137</f>
        <v>1.2077419258219354E-5</v>
      </c>
      <c r="AC139" s="268">
        <f t="shared" si="21"/>
        <v>1.2077419258219354E-5</v>
      </c>
      <c r="AD139" s="375">
        <f t="shared" si="16"/>
        <v>1.2189903872545282E-4</v>
      </c>
      <c r="AE139" s="375">
        <f t="shared" si="17"/>
        <v>1.2189903872545282E-4</v>
      </c>
      <c r="AG139" s="379" t="e">
        <f t="shared" si="4"/>
        <v>#N/A</v>
      </c>
      <c r="AH139" s="379" t="str">
        <f>IF(ISNUMBER('1_Combustibles fòssils'!J39),'1_Combustibles fòssils'!J39*'1_Combustibles fòssils'!H39,"")</f>
        <v/>
      </c>
      <c r="AI139" s="379" t="str">
        <f t="shared" si="5"/>
        <v/>
      </c>
      <c r="AJ139" s="379" t="e">
        <f t="shared" si="6"/>
        <v>#N/A</v>
      </c>
      <c r="AK139" s="379" t="str">
        <f>IF(ISNUMBER('1_Combustibles fòssils'!K39),'1_Combustibles fòssils'!K39*'1_Combustibles fòssils'!H39,"")</f>
        <v/>
      </c>
      <c r="AL139" s="379" t="str">
        <f t="shared" si="7"/>
        <v/>
      </c>
      <c r="AN139" s="379" t="str">
        <f t="shared" si="8"/>
        <v/>
      </c>
      <c r="AO139" s="250" t="str">
        <f>IF(ISNUMBER('1_Combustibles fòssils'!L39),'1_Combustibles fòssils'!H39*'1_Combustibles fòssils'!L39,IF(ISNUMBER('1_Combustibles fòssils'!I39),AN139,""))</f>
        <v/>
      </c>
    </row>
    <row r="140" spans="3:42" x14ac:dyDescent="0.25">
      <c r="C140" s="253"/>
      <c r="D140" s="247" t="s">
        <v>70</v>
      </c>
      <c r="E140" s="248">
        <f t="shared" si="14"/>
        <v>1.857</v>
      </c>
      <c r="F140" s="248">
        <f t="shared" si="14"/>
        <v>1.857</v>
      </c>
      <c r="G140" s="248">
        <f t="shared" si="14"/>
        <v>1.857</v>
      </c>
      <c r="H140" s="248">
        <f t="shared" si="14"/>
        <v>1.857</v>
      </c>
      <c r="I140" s="248">
        <f t="shared" si="14"/>
        <v>1.857</v>
      </c>
      <c r="J140" s="248">
        <f t="shared" si="14"/>
        <v>1.857</v>
      </c>
      <c r="K140" s="248">
        <f t="shared" si="14"/>
        <v>1.857</v>
      </c>
      <c r="L140" s="248">
        <f t="shared" si="14"/>
        <v>1.857</v>
      </c>
      <c r="M140" s="248">
        <f t="shared" si="14"/>
        <v>1.857</v>
      </c>
      <c r="N140" s="248">
        <f t="shared" si="14"/>
        <v>1.849</v>
      </c>
      <c r="Q140" s="254"/>
      <c r="R140" s="255"/>
      <c r="X140">
        <v>0.7</v>
      </c>
      <c r="Y140" s="268" t="s">
        <v>70</v>
      </c>
      <c r="Z140" s="268">
        <v>0.84499999999999997</v>
      </c>
      <c r="AA140" s="374">
        <f t="shared" si="20"/>
        <v>11.94454</v>
      </c>
      <c r="AB140" s="268">
        <f t="shared" si="21"/>
        <v>1.0567741850941932E-5</v>
      </c>
      <c r="AC140" s="268">
        <f t="shared" si="21"/>
        <v>1.0567741850941932E-5</v>
      </c>
      <c r="AD140" s="375">
        <f t="shared" si="16"/>
        <v>1.0666165888477121E-4</v>
      </c>
      <c r="AE140" s="375">
        <f t="shared" si="17"/>
        <v>1.0666165888477121E-4</v>
      </c>
    </row>
    <row r="141" spans="3:42" x14ac:dyDescent="0.25">
      <c r="C141" s="253"/>
      <c r="D141" s="247" t="s">
        <v>71</v>
      </c>
      <c r="E141" s="248">
        <f t="shared" si="14"/>
        <v>0</v>
      </c>
      <c r="F141" s="248">
        <f t="shared" si="14"/>
        <v>0</v>
      </c>
      <c r="G141" s="248">
        <f t="shared" si="14"/>
        <v>0</v>
      </c>
      <c r="H141" s="248">
        <f t="shared" si="14"/>
        <v>0</v>
      </c>
      <c r="I141" s="248">
        <f t="shared" si="14"/>
        <v>0</v>
      </c>
      <c r="J141" s="248">
        <f t="shared" si="14"/>
        <v>0</v>
      </c>
      <c r="K141" s="248">
        <f t="shared" si="14"/>
        <v>0</v>
      </c>
      <c r="L141" s="248">
        <f t="shared" si="14"/>
        <v>0</v>
      </c>
      <c r="M141" s="248">
        <f t="shared" si="14"/>
        <v>0</v>
      </c>
      <c r="N141" s="248">
        <f t="shared" si="14"/>
        <v>0</v>
      </c>
      <c r="Q141" s="254"/>
      <c r="R141" s="255"/>
      <c r="X141">
        <v>0</v>
      </c>
      <c r="Y141" s="268" t="s">
        <v>71</v>
      </c>
      <c r="Z141" s="268">
        <v>0.84499999999999997</v>
      </c>
      <c r="AA141" s="374">
        <f t="shared" si="20"/>
        <v>11.94454</v>
      </c>
      <c r="AB141" s="268">
        <f t="shared" si="21"/>
        <v>0</v>
      </c>
      <c r="AC141" s="268">
        <f t="shared" si="21"/>
        <v>0</v>
      </c>
      <c r="AD141" s="375">
        <f t="shared" si="16"/>
        <v>0</v>
      </c>
      <c r="AE141" s="375">
        <f t="shared" si="17"/>
        <v>0</v>
      </c>
    </row>
    <row r="142" spans="3:42" x14ac:dyDescent="0.25">
      <c r="C142" s="253"/>
      <c r="D142" s="247" t="s">
        <v>884</v>
      </c>
      <c r="E142" s="248" t="str">
        <f t="shared" si="14"/>
        <v>-</v>
      </c>
      <c r="F142" s="248" t="str">
        <f t="shared" si="14"/>
        <v>-</v>
      </c>
      <c r="G142" s="248" t="str">
        <f t="shared" si="14"/>
        <v>-</v>
      </c>
      <c r="H142" s="248" t="str">
        <f t="shared" si="14"/>
        <v>-</v>
      </c>
      <c r="I142" s="248" t="str">
        <f t="shared" si="14"/>
        <v>-</v>
      </c>
      <c r="J142" s="248" t="str">
        <f t="shared" si="14"/>
        <v>-</v>
      </c>
      <c r="K142" s="248" t="str">
        <f t="shared" si="14"/>
        <v>-</v>
      </c>
      <c r="L142" s="248" t="str">
        <f t="shared" si="14"/>
        <v>-</v>
      </c>
      <c r="M142" s="248" t="str">
        <f t="shared" si="14"/>
        <v>-</v>
      </c>
      <c r="N142" s="248" t="str">
        <f t="shared" si="14"/>
        <v>-</v>
      </c>
      <c r="Q142" s="254"/>
      <c r="R142" s="255"/>
      <c r="Y142" s="268" t="s">
        <v>884</v>
      </c>
      <c r="Z142" s="268" t="s">
        <v>106</v>
      </c>
      <c r="AA142" s="268" t="s">
        <v>106</v>
      </c>
      <c r="AB142" s="268" t="s">
        <v>106</v>
      </c>
      <c r="AC142" s="268" t="s">
        <v>106</v>
      </c>
      <c r="AD142" s="268" t="s">
        <v>106</v>
      </c>
      <c r="AE142" s="268" t="s">
        <v>106</v>
      </c>
    </row>
    <row r="143" spans="3:42" x14ac:dyDescent="0.25">
      <c r="C143" s="253"/>
      <c r="D143" s="212"/>
      <c r="E143" s="256"/>
      <c r="F143" s="256"/>
      <c r="G143" s="256"/>
      <c r="H143" s="256"/>
      <c r="I143" s="256"/>
      <c r="J143" s="256"/>
      <c r="K143" s="256"/>
      <c r="L143" s="256"/>
      <c r="M143" s="256"/>
      <c r="N143" s="256"/>
      <c r="Q143" s="254"/>
      <c r="R143" s="255"/>
      <c r="AM143" s="383"/>
      <c r="AN143" s="316"/>
    </row>
    <row r="144" spans="3:42" x14ac:dyDescent="0.25">
      <c r="C144" s="219"/>
      <c r="D144" s="219"/>
      <c r="E144" s="224" t="s">
        <v>79</v>
      </c>
      <c r="F144" s="237"/>
      <c r="G144" s="237"/>
      <c r="AM144" s="383"/>
      <c r="AN144" s="316"/>
      <c r="AP144" s="545" t="s">
        <v>762</v>
      </c>
    </row>
    <row r="145" spans="2:44" x14ac:dyDescent="0.25">
      <c r="C145" s="219"/>
      <c r="D145" s="219"/>
      <c r="E145" s="238">
        <v>2011</v>
      </c>
      <c r="F145" s="239">
        <v>2012</v>
      </c>
      <c r="G145" s="239">
        <v>2013</v>
      </c>
      <c r="H145" s="239">
        <v>2014</v>
      </c>
      <c r="I145" s="239">
        <v>2015</v>
      </c>
      <c r="J145" s="239">
        <v>2016</v>
      </c>
      <c r="K145" s="239">
        <v>2017</v>
      </c>
      <c r="L145" s="239">
        <v>2018</v>
      </c>
      <c r="M145" s="239">
        <v>2019</v>
      </c>
      <c r="N145" s="238">
        <v>2020</v>
      </c>
      <c r="AP145" s="546"/>
    </row>
    <row r="146" spans="2:44" x14ac:dyDescent="0.25">
      <c r="B146" t="s">
        <v>141</v>
      </c>
      <c r="C146" s="219"/>
      <c r="D146" s="219">
        <v>1</v>
      </c>
      <c r="E146" s="219">
        <v>2</v>
      </c>
      <c r="F146">
        <v>3</v>
      </c>
      <c r="G146" s="219">
        <v>4</v>
      </c>
      <c r="H146" s="219">
        <v>5</v>
      </c>
      <c r="I146" s="219">
        <v>6</v>
      </c>
      <c r="J146" s="219">
        <v>7</v>
      </c>
      <c r="K146" s="219">
        <v>8</v>
      </c>
      <c r="L146" s="219">
        <v>9</v>
      </c>
      <c r="M146" s="219">
        <v>10</v>
      </c>
      <c r="N146" s="219">
        <v>11</v>
      </c>
      <c r="O146" s="219"/>
      <c r="Q146" s="224" t="s">
        <v>125</v>
      </c>
      <c r="R146" s="224"/>
      <c r="S146" s="224"/>
      <c r="T146" s="224"/>
      <c r="AP146" s="268">
        <v>1.0249999999999999</v>
      </c>
    </row>
    <row r="147" spans="2:44" ht="48" x14ac:dyDescent="0.25">
      <c r="C147" s="240" t="s">
        <v>142</v>
      </c>
      <c r="D147" s="257" t="s">
        <v>143</v>
      </c>
      <c r="E147" s="257" t="s">
        <v>128</v>
      </c>
      <c r="F147" s="257" t="s">
        <v>129</v>
      </c>
      <c r="G147" s="257" t="s">
        <v>130</v>
      </c>
      <c r="H147" s="257" t="s">
        <v>131</v>
      </c>
      <c r="I147" s="257" t="s">
        <v>132</v>
      </c>
      <c r="J147" s="257" t="s">
        <v>133</v>
      </c>
      <c r="K147" s="257" t="s">
        <v>134</v>
      </c>
      <c r="L147" s="257" t="s">
        <v>135</v>
      </c>
      <c r="M147" s="257" t="s">
        <v>136</v>
      </c>
      <c r="N147" s="258" t="s">
        <v>137</v>
      </c>
      <c r="Q147" s="258" t="s">
        <v>139</v>
      </c>
      <c r="R147" s="244" t="s">
        <v>144</v>
      </c>
      <c r="S147" s="244" t="s">
        <v>145</v>
      </c>
      <c r="Y147" s="372" t="s">
        <v>756</v>
      </c>
      <c r="Z147" s="373" t="s">
        <v>750</v>
      </c>
      <c r="AA147" s="373" t="s">
        <v>751</v>
      </c>
      <c r="AB147" s="373" t="s">
        <v>752</v>
      </c>
      <c r="AC147" s="373" t="s">
        <v>753</v>
      </c>
      <c r="AD147" s="373" t="s">
        <v>754</v>
      </c>
      <c r="AE147" s="373" t="s">
        <v>755</v>
      </c>
      <c r="AG147" s="240" t="s">
        <v>758</v>
      </c>
      <c r="AH147" s="257" t="s">
        <v>139</v>
      </c>
      <c r="AI147" s="257" t="s">
        <v>759</v>
      </c>
      <c r="AJ147" s="240" t="s">
        <v>757</v>
      </c>
      <c r="AK147" s="257" t="s">
        <v>139</v>
      </c>
      <c r="AL147" s="257" t="s">
        <v>760</v>
      </c>
      <c r="AN147" s="257" t="s">
        <v>761</v>
      </c>
      <c r="AO147" s="244" t="s">
        <v>144</v>
      </c>
      <c r="AP147" s="244" t="s">
        <v>145</v>
      </c>
      <c r="AR147" s="382" t="s">
        <v>146</v>
      </c>
    </row>
    <row r="148" spans="2:44" x14ac:dyDescent="0.25">
      <c r="C148" s="259">
        <f>'1_Combustibles fòssils'!H48</f>
        <v>0</v>
      </c>
      <c r="D148" s="260" t="s">
        <v>26</v>
      </c>
      <c r="E148" s="248">
        <f t="shared" ref="E148:N157" si="22">INDEX($D$84:$M$112,MATCH($D148,$C$84:$C$112,0),MATCH(E$145,$D$83:$M$83,0))</f>
        <v>2.2050000000000001</v>
      </c>
      <c r="F148" s="248">
        <f t="shared" si="22"/>
        <v>2.2010000000000001</v>
      </c>
      <c r="G148" s="248">
        <f t="shared" si="22"/>
        <v>2.2050000000000001</v>
      </c>
      <c r="H148" s="248">
        <f t="shared" si="22"/>
        <v>2.2050000000000001</v>
      </c>
      <c r="I148" s="248">
        <f t="shared" si="22"/>
        <v>2.2050000000000001</v>
      </c>
      <c r="J148" s="248">
        <f t="shared" si="22"/>
        <v>2.1960000000000002</v>
      </c>
      <c r="K148" s="248">
        <f t="shared" si="22"/>
        <v>2.1800000000000002</v>
      </c>
      <c r="L148" s="248">
        <f t="shared" si="22"/>
        <v>2.157</v>
      </c>
      <c r="M148" s="248" t="str">
        <f t="shared" si="22"/>
        <v>-</v>
      </c>
      <c r="N148" s="248" t="str">
        <f t="shared" si="22"/>
        <v>-</v>
      </c>
      <c r="Q148" s="261" t="e">
        <f>VLOOKUP(Dades!C148,Dades!$D$148:$N$166,Dades!$F$2-2009,0)</f>
        <v>#N/A</v>
      </c>
      <c r="R148" s="250" t="str">
        <f>IF(ISNUMBER('1_Combustibles fòssils'!J48),'1_Combustibles fòssils'!J48*'1_Combustibles fòssils'!I48,"")</f>
        <v/>
      </c>
      <c r="S148" s="262">
        <f>IF(ISNUMBER('1_Combustibles fòssils'!R48),('1_Combustibles fòssils'!R48*'1_Combustibles fòssils'!S48)/1000,0)</f>
        <v>0</v>
      </c>
      <c r="Y148" s="268" t="s">
        <v>26</v>
      </c>
      <c r="Z148" s="268">
        <v>0.77500000000000002</v>
      </c>
      <c r="AA148" s="374">
        <f>44.3*277.78/1000</f>
        <v>12.305653999999999</v>
      </c>
      <c r="AB148" s="375">
        <f>3.8/277777.78</f>
        <v>1.3679999890559999E-5</v>
      </c>
      <c r="AC148" s="375">
        <f>5.7/277777.78</f>
        <v>2.051999983584E-5</v>
      </c>
      <c r="AD148" s="375">
        <f>Z148*AA148*AB148</f>
        <v>1.3046454266428363E-4</v>
      </c>
      <c r="AE148" s="375">
        <f>Z148*AA148*AC148</f>
        <v>1.9569681399642544E-4</v>
      </c>
      <c r="AG148" s="379" t="e">
        <f>VLOOKUP(Dades!C148,Dades!$Y$148:$AE$166,6,0)</f>
        <v>#N/A</v>
      </c>
      <c r="AH148" s="379" t="str">
        <f>IF(ISNUMBER('1_Combustibles fòssils'!K48),'1_Combustibles fòssils'!K48*'1_Combustibles fòssils'!I48,"")</f>
        <v/>
      </c>
      <c r="AI148" s="379" t="str">
        <f>IF(ISNUMBER(AH148),AH148*$D$657,"")</f>
        <v/>
      </c>
      <c r="AJ148" s="379" t="e">
        <f>VLOOKUP(Dades!C148,Dades!$Y$148:$AE$166,7,0)</f>
        <v>#N/A</v>
      </c>
      <c r="AK148" s="379" t="str">
        <f>IF(ISNUMBER('1_Combustibles fòssils'!L48),'1_Combustibles fòssils'!L48*'1_Combustibles fòssils'!I48,"")</f>
        <v/>
      </c>
      <c r="AL148" s="379" t="str">
        <f>IF(ISNUMBER(AK148),AK148*$D$658,"")</f>
        <v/>
      </c>
      <c r="AN148" s="379" t="str">
        <f>IF(ISNUMBER(Q148),R148+AI148+AL148,"")</f>
        <v/>
      </c>
      <c r="AO148" s="250" t="str">
        <f>IF(ISNUMBER('1_Combustibles fòssils'!M48),'1_Combustibles fòssils'!M48*'1_Combustibles fòssils'!I48,IF(ISNUMBER('1_Combustibles fòssils'!J48),AN148,""))</f>
        <v/>
      </c>
      <c r="AP148" s="262">
        <f>IF(ISNUMBER('1_Combustibles fòssils'!R48),('1_Combustibles fòssils'!R48*'1_Combustibles fòssils'!S48*Dades!$AP$146)/1000,0)</f>
        <v>0</v>
      </c>
      <c r="AR148" s="251">
        <f>SUM(AO168+AP168)</f>
        <v>0</v>
      </c>
    </row>
    <row r="149" spans="2:44" x14ac:dyDescent="0.25">
      <c r="C149" s="259">
        <f>'1_Combustibles fòssils'!H49</f>
        <v>0</v>
      </c>
      <c r="D149" s="260" t="s">
        <v>880</v>
      </c>
      <c r="E149" s="248">
        <f t="shared" si="22"/>
        <v>2.4929999999999999</v>
      </c>
      <c r="F149" s="248">
        <f t="shared" si="22"/>
        <v>2.4670000000000001</v>
      </c>
      <c r="G149" s="248">
        <f t="shared" si="22"/>
        <v>2.544</v>
      </c>
      <c r="H149" s="248">
        <f t="shared" si="22"/>
        <v>2.544</v>
      </c>
      <c r="I149" s="248">
        <f t="shared" si="22"/>
        <v>2.544</v>
      </c>
      <c r="J149" s="248">
        <f t="shared" si="22"/>
        <v>2.5390000000000001</v>
      </c>
      <c r="K149" s="248">
        <f t="shared" si="22"/>
        <v>2.52</v>
      </c>
      <c r="L149" s="248">
        <f t="shared" si="22"/>
        <v>2.4929999999999999</v>
      </c>
      <c r="M149" s="248" t="str">
        <f t="shared" si="22"/>
        <v>-</v>
      </c>
      <c r="N149" s="248" t="str">
        <f t="shared" si="22"/>
        <v>-</v>
      </c>
      <c r="Q149" s="261" t="e">
        <f t="shared" ref="Q149:Q167" si="23">VLOOKUP(C149,$D$148:$N$166,$F$2-2009,0)</f>
        <v>#N/A</v>
      </c>
      <c r="R149" s="250" t="str">
        <f>IF(ISNUMBER('1_Combustibles fòssils'!J49),'1_Combustibles fòssils'!J49*'1_Combustibles fòssils'!I49,"")</f>
        <v/>
      </c>
      <c r="S149" s="262">
        <f>IF(ISNUMBER('1_Combustibles fòssils'!R49),('1_Combustibles fòssils'!R49*'1_Combustibles fòssils'!S49)/1000,0)</f>
        <v>0</v>
      </c>
      <c r="Y149" s="268" t="s">
        <v>880</v>
      </c>
      <c r="Z149" s="268">
        <v>0.84499999999999997</v>
      </c>
      <c r="AA149" s="374">
        <f>43*277.78/1000</f>
        <v>11.94454</v>
      </c>
      <c r="AB149" s="375">
        <f>3.9/277777.78</f>
        <v>1.4039999887679998E-5</v>
      </c>
      <c r="AC149" s="375">
        <f>3.9/277777.78</f>
        <v>1.4039999887679998E-5</v>
      </c>
      <c r="AD149" s="375">
        <f t="shared" ref="AD149:AD159" si="24">Z149*AA149*AB149</f>
        <v>1.417076325183389E-4</v>
      </c>
      <c r="AE149" s="375">
        <f t="shared" ref="AE149:AE159" si="25">Z149*AA149*AC149</f>
        <v>1.417076325183389E-4</v>
      </c>
      <c r="AG149" s="379" t="e">
        <f t="shared" ref="AG149:AG167" si="26">VLOOKUP(C149,$Y$148:$AE$166,6,0)</f>
        <v>#N/A</v>
      </c>
      <c r="AH149" s="379" t="str">
        <f>IF(ISNUMBER('1_Combustibles fòssils'!K49),'1_Combustibles fòssils'!K49*'1_Combustibles fòssils'!I49,"")</f>
        <v/>
      </c>
      <c r="AI149" s="379" t="str">
        <f t="shared" ref="AI149:AI167" si="27">IF(ISNUMBER(AH149),AH149*$D$657,"")</f>
        <v/>
      </c>
      <c r="AJ149" s="379" t="e">
        <f t="shared" ref="AJ149:AJ167" si="28">VLOOKUP(C149,$Y$148:$AE$166,7,0)</f>
        <v>#N/A</v>
      </c>
      <c r="AK149" s="379" t="str">
        <f>IF(ISNUMBER('1_Combustibles fòssils'!L49),'1_Combustibles fòssils'!L49*'1_Combustibles fòssils'!I49,"")</f>
        <v/>
      </c>
      <c r="AL149" s="379" t="str">
        <f t="shared" ref="AL149:AL167" si="29">IF(ISNUMBER(AK149),AK149*$D$658,"")</f>
        <v/>
      </c>
      <c r="AN149" s="379" t="str">
        <f t="shared" ref="AN149:AN166" si="30">IF(ISNUMBER(Q149),R149+AI149+AL149,"")</f>
        <v/>
      </c>
      <c r="AO149" s="250" t="str">
        <f>IF(ISNUMBER('1_Combustibles fòssils'!M49),'1_Combustibles fòssils'!M49*'1_Combustibles fòssils'!I49,IF(ISNUMBER('1_Combustibles fòssils'!J49),AN149,""))</f>
        <v/>
      </c>
      <c r="AP149" s="262">
        <f>IF(ISNUMBER('1_Combustibles fòssils'!R49),('1_Combustibles fòssils'!R49*'1_Combustibles fòssils'!S49*$AP$146)/1000,0)</f>
        <v>0</v>
      </c>
    </row>
    <row r="150" spans="2:44" x14ac:dyDescent="0.25">
      <c r="C150" s="259">
        <f>'1_Combustibles fòssils'!H50</f>
        <v>0</v>
      </c>
      <c r="D150" s="260" t="s">
        <v>873</v>
      </c>
      <c r="E150" s="248">
        <f t="shared" si="22"/>
        <v>2.7080000000000002</v>
      </c>
      <c r="F150" s="248">
        <f t="shared" si="22"/>
        <v>2.7080000000000002</v>
      </c>
      <c r="G150" s="248">
        <f t="shared" si="22"/>
        <v>2.7080000000000002</v>
      </c>
      <c r="H150" s="248">
        <f t="shared" si="22"/>
        <v>2.7080000000000002</v>
      </c>
      <c r="I150" s="248">
        <f t="shared" si="22"/>
        <v>2.7080000000000002</v>
      </c>
      <c r="J150" s="248">
        <f t="shared" si="22"/>
        <v>2.7080000000000002</v>
      </c>
      <c r="K150" s="248">
        <f t="shared" si="22"/>
        <v>2.7080000000000002</v>
      </c>
      <c r="L150" s="248">
        <f t="shared" si="22"/>
        <v>2.7080000000000002</v>
      </c>
      <c r="M150" s="248">
        <f t="shared" si="22"/>
        <v>2.7080000000000002</v>
      </c>
      <c r="N150" s="248">
        <f t="shared" si="22"/>
        <v>2.6859999999999999</v>
      </c>
      <c r="Q150" s="261" t="e">
        <f t="shared" si="23"/>
        <v>#N/A</v>
      </c>
      <c r="R150" s="250" t="str">
        <f>IF(ISNUMBER('1_Combustibles fòssils'!J50),'1_Combustibles fòssils'!J50*'1_Combustibles fòssils'!I50,"")</f>
        <v/>
      </c>
      <c r="S150" s="262">
        <f>IF(ISNUMBER('1_Combustibles fòssils'!R50),('1_Combustibles fòssils'!R50*'1_Combustibles fòssils'!S50)/1000,0)</f>
        <v>0</v>
      </c>
      <c r="Y150" s="268" t="s">
        <v>873</v>
      </c>
      <c r="Z150" s="268">
        <v>0.88</v>
      </c>
      <c r="AA150" s="374">
        <f>43*277.78/1000</f>
        <v>11.94454</v>
      </c>
      <c r="AB150" s="375">
        <f>3.9/277777.78</f>
        <v>1.4039999887679998E-5</v>
      </c>
      <c r="AC150" s="375">
        <f>3.9/277777.78</f>
        <v>1.4039999887679998E-5</v>
      </c>
      <c r="AD150" s="375">
        <f t="shared" si="24"/>
        <v>1.4757717942738254E-4</v>
      </c>
      <c r="AE150" s="375">
        <f t="shared" si="25"/>
        <v>1.4757717942738254E-4</v>
      </c>
      <c r="AG150" s="379" t="e">
        <f t="shared" si="26"/>
        <v>#N/A</v>
      </c>
      <c r="AH150" s="379" t="str">
        <f>IF(ISNUMBER('1_Combustibles fòssils'!K50),'1_Combustibles fòssils'!K50*'1_Combustibles fòssils'!I50,"")</f>
        <v/>
      </c>
      <c r="AI150" s="379" t="str">
        <f t="shared" si="27"/>
        <v/>
      </c>
      <c r="AJ150" s="379" t="e">
        <f t="shared" si="28"/>
        <v>#N/A</v>
      </c>
      <c r="AK150" s="379" t="str">
        <f>IF(ISNUMBER('1_Combustibles fòssils'!L50),'1_Combustibles fòssils'!L50*'1_Combustibles fòssils'!I50,"")</f>
        <v/>
      </c>
      <c r="AL150" s="379" t="str">
        <f t="shared" si="29"/>
        <v/>
      </c>
      <c r="AN150" s="379" t="str">
        <f t="shared" si="30"/>
        <v/>
      </c>
      <c r="AO150" s="250" t="str">
        <f>IF(ISNUMBER('1_Combustibles fòssils'!M50),'1_Combustibles fòssils'!M50*'1_Combustibles fòssils'!I50,IF(ISNUMBER('1_Combustibles fòssils'!J50),AN150,""))</f>
        <v/>
      </c>
      <c r="AP150" s="262">
        <f>IF(ISNUMBER('1_Combustibles fòssils'!R50),('1_Combustibles fòssils'!R50*'1_Combustibles fòssils'!S50*$AP$146)/1000,0)</f>
        <v>0</v>
      </c>
    </row>
    <row r="151" spans="2:44" x14ac:dyDescent="0.25">
      <c r="C151" s="259">
        <f>'1_Combustibles fòssils'!H51</f>
        <v>0</v>
      </c>
      <c r="D151" s="260" t="s">
        <v>25</v>
      </c>
      <c r="E151" s="248">
        <f t="shared" si="22"/>
        <v>2.1800000000000002</v>
      </c>
      <c r="F151" s="248">
        <f t="shared" si="22"/>
        <v>2.1800000000000002</v>
      </c>
      <c r="G151" s="248">
        <f t="shared" si="22"/>
        <v>2.1800000000000002</v>
      </c>
      <c r="H151" s="248">
        <f t="shared" si="22"/>
        <v>2.1800000000000002</v>
      </c>
      <c r="I151" s="248">
        <f t="shared" si="22"/>
        <v>2.1800000000000002</v>
      </c>
      <c r="J151" s="248">
        <f t="shared" si="22"/>
        <v>2.1800000000000002</v>
      </c>
      <c r="K151" s="248">
        <f t="shared" si="22"/>
        <v>2.1800000000000002</v>
      </c>
      <c r="L151" s="248">
        <f t="shared" si="22"/>
        <v>2.1800000000000002</v>
      </c>
      <c r="M151" s="248">
        <f t="shared" si="22"/>
        <v>2.1800000000000002</v>
      </c>
      <c r="N151" s="248">
        <f t="shared" si="22"/>
        <v>2.2440000000000002</v>
      </c>
      <c r="Q151" s="261" t="e">
        <f t="shared" si="23"/>
        <v>#N/A</v>
      </c>
      <c r="R151" s="250" t="str">
        <f>IF(ISNUMBER('1_Combustibles fòssils'!J51),'1_Combustibles fòssils'!J51*'1_Combustibles fòssils'!I51,"")</f>
        <v/>
      </c>
      <c r="S151" s="262">
        <f>IF(ISNUMBER('1_Combustibles fòssils'!R51),('1_Combustibles fòssils'!R51*'1_Combustibles fòssils'!S51)/1000,0)</f>
        <v>0</v>
      </c>
      <c r="X151">
        <v>0.95</v>
      </c>
      <c r="Y151" s="268" t="s">
        <v>25</v>
      </c>
      <c r="Z151" s="268">
        <f>Z$148</f>
        <v>0.77500000000000002</v>
      </c>
      <c r="AA151" s="374">
        <f>AA$148</f>
        <v>12.305653999999999</v>
      </c>
      <c r="AB151" s="375">
        <f>AB$148</f>
        <v>1.3679999890559999E-5</v>
      </c>
      <c r="AC151" s="375">
        <f>AC$148</f>
        <v>2.051999983584E-5</v>
      </c>
      <c r="AD151" s="375">
        <f t="shared" si="24"/>
        <v>1.3046454266428363E-4</v>
      </c>
      <c r="AE151" s="375">
        <f t="shared" si="25"/>
        <v>1.9569681399642544E-4</v>
      </c>
      <c r="AG151" s="379" t="e">
        <f t="shared" si="26"/>
        <v>#N/A</v>
      </c>
      <c r="AH151" s="379" t="str">
        <f>IF(ISNUMBER('1_Combustibles fòssils'!K51),'1_Combustibles fòssils'!K51*'1_Combustibles fòssils'!I51,"")</f>
        <v/>
      </c>
      <c r="AI151" s="379" t="str">
        <f t="shared" si="27"/>
        <v/>
      </c>
      <c r="AJ151" s="379" t="e">
        <f t="shared" si="28"/>
        <v>#N/A</v>
      </c>
      <c r="AK151" s="379" t="str">
        <f>IF(ISNUMBER('1_Combustibles fòssils'!L51),'1_Combustibles fòssils'!L51*'1_Combustibles fòssils'!I51,"")</f>
        <v/>
      </c>
      <c r="AL151" s="379" t="str">
        <f t="shared" si="29"/>
        <v/>
      </c>
      <c r="AN151" s="379" t="str">
        <f t="shared" si="30"/>
        <v/>
      </c>
      <c r="AO151" s="250" t="str">
        <f>IF(ISNUMBER('1_Combustibles fòssils'!M51),'1_Combustibles fòssils'!M51*'1_Combustibles fòssils'!I51,IF(ISNUMBER('1_Combustibles fòssils'!J51),AN151,""))</f>
        <v/>
      </c>
      <c r="AP151" s="262">
        <f>IF(ISNUMBER('1_Combustibles fòssils'!R51),('1_Combustibles fòssils'!R51*'1_Combustibles fòssils'!S51*$AP$146)/1000,0)</f>
        <v>0</v>
      </c>
    </row>
    <row r="152" spans="2:44" x14ac:dyDescent="0.25">
      <c r="C152" s="259">
        <f>'1_Combustibles fòssils'!H52</f>
        <v>0</v>
      </c>
      <c r="D152" s="260" t="s">
        <v>91</v>
      </c>
      <c r="E152" s="248">
        <f t="shared" si="22"/>
        <v>2.0649999999999999</v>
      </c>
      <c r="F152" s="248">
        <f t="shared" si="22"/>
        <v>2.0649999999999999</v>
      </c>
      <c r="G152" s="248">
        <f t="shared" si="22"/>
        <v>2.0649999999999999</v>
      </c>
      <c r="H152" s="248">
        <f t="shared" si="22"/>
        <v>2.0649999999999999</v>
      </c>
      <c r="I152" s="248">
        <f t="shared" si="22"/>
        <v>2.0649999999999999</v>
      </c>
      <c r="J152" s="248">
        <f t="shared" si="22"/>
        <v>2.0649999999999999</v>
      </c>
      <c r="K152" s="248">
        <f t="shared" si="22"/>
        <v>2.0649999999999999</v>
      </c>
      <c r="L152" s="248">
        <f t="shared" si="22"/>
        <v>2.0649999999999999</v>
      </c>
      <c r="M152" s="248">
        <f t="shared" si="22"/>
        <v>2.0649999999999999</v>
      </c>
      <c r="N152" s="248">
        <f t="shared" si="22"/>
        <v>2.125</v>
      </c>
      <c r="Q152" s="261" t="e">
        <f t="shared" si="23"/>
        <v>#N/A</v>
      </c>
      <c r="R152" s="250" t="str">
        <f>IF(ISNUMBER('1_Combustibles fòssils'!J52),'1_Combustibles fòssils'!J52*'1_Combustibles fòssils'!I52,"")</f>
        <v/>
      </c>
      <c r="S152" s="262">
        <f>IF(ISNUMBER('1_Combustibles fòssils'!R52),('1_Combustibles fòssils'!R52*'1_Combustibles fòssils'!S52)/1000,0)</f>
        <v>0</v>
      </c>
      <c r="X152">
        <v>0.9</v>
      </c>
      <c r="Y152" s="268" t="s">
        <v>91</v>
      </c>
      <c r="Z152" s="268">
        <f t="shared" ref="Z152:AA154" si="31">Z$148</f>
        <v>0.77500000000000002</v>
      </c>
      <c r="AA152" s="374">
        <f t="shared" si="31"/>
        <v>12.305653999999999</v>
      </c>
      <c r="AB152" s="375">
        <f t="shared" ref="AB152:AC154" si="32">AB$151*$X152/$X$151</f>
        <v>1.2959999896319999E-5</v>
      </c>
      <c r="AC152" s="375">
        <f t="shared" si="32"/>
        <v>1.9439999844480001E-5</v>
      </c>
      <c r="AD152" s="375">
        <f t="shared" si="24"/>
        <v>1.2359798778721607E-4</v>
      </c>
      <c r="AE152" s="375">
        <f t="shared" si="25"/>
        <v>1.8539698168082411E-4</v>
      </c>
      <c r="AG152" s="379" t="e">
        <f t="shared" si="26"/>
        <v>#N/A</v>
      </c>
      <c r="AH152" s="379" t="str">
        <f>IF(ISNUMBER('1_Combustibles fòssils'!K52),'1_Combustibles fòssils'!K52*'1_Combustibles fòssils'!I52,"")</f>
        <v/>
      </c>
      <c r="AI152" s="379" t="str">
        <f t="shared" si="27"/>
        <v/>
      </c>
      <c r="AJ152" s="379" t="e">
        <f t="shared" si="28"/>
        <v>#N/A</v>
      </c>
      <c r="AK152" s="379" t="str">
        <f>IF(ISNUMBER('1_Combustibles fòssils'!L52),'1_Combustibles fòssils'!L52*'1_Combustibles fòssils'!I52,"")</f>
        <v/>
      </c>
      <c r="AL152" s="379" t="str">
        <f t="shared" si="29"/>
        <v/>
      </c>
      <c r="AN152" s="379" t="str">
        <f t="shared" si="30"/>
        <v/>
      </c>
      <c r="AO152" s="250" t="str">
        <f>IF(ISNUMBER('1_Combustibles fòssils'!M52),'1_Combustibles fòssils'!M52*'1_Combustibles fòssils'!I52,IF(ISNUMBER('1_Combustibles fòssils'!J52),AN152,""))</f>
        <v/>
      </c>
      <c r="AP152" s="262">
        <f>IF(ISNUMBER('1_Combustibles fòssils'!R52),('1_Combustibles fòssils'!R52*'1_Combustibles fòssils'!S52*$AP$146)/1000,0)</f>
        <v>0</v>
      </c>
    </row>
    <row r="153" spans="2:44" x14ac:dyDescent="0.25">
      <c r="C153" s="259">
        <f>'1_Combustibles fòssils'!H53</f>
        <v>0</v>
      </c>
      <c r="D153" s="260" t="s">
        <v>57</v>
      </c>
      <c r="E153" s="248">
        <f t="shared" si="22"/>
        <v>0.34399999999999997</v>
      </c>
      <c r="F153" s="248">
        <f t="shared" si="22"/>
        <v>0.34399999999999997</v>
      </c>
      <c r="G153" s="248">
        <f t="shared" si="22"/>
        <v>0.34399999999999997</v>
      </c>
      <c r="H153" s="248">
        <f t="shared" si="22"/>
        <v>0.34399999999999997</v>
      </c>
      <c r="I153" s="248">
        <f t="shared" si="22"/>
        <v>0.34399999999999997</v>
      </c>
      <c r="J153" s="248">
        <f t="shared" si="22"/>
        <v>0.34399999999999997</v>
      </c>
      <c r="K153" s="248">
        <f t="shared" si="22"/>
        <v>0.34399999999999997</v>
      </c>
      <c r="L153" s="248">
        <f t="shared" si="22"/>
        <v>0.34399999999999997</v>
      </c>
      <c r="M153" s="248">
        <f t="shared" si="22"/>
        <v>0.34399999999999997</v>
      </c>
      <c r="N153" s="248">
        <f t="shared" si="22"/>
        <v>0.35399999999999998</v>
      </c>
      <c r="Q153" s="261" t="e">
        <f t="shared" si="23"/>
        <v>#N/A</v>
      </c>
      <c r="R153" s="250" t="str">
        <f>IF(ISNUMBER('1_Combustibles fòssils'!J53),'1_Combustibles fòssils'!J53*'1_Combustibles fòssils'!I53,"")</f>
        <v/>
      </c>
      <c r="S153" s="262">
        <f>IF(ISNUMBER('1_Combustibles fòssils'!R53),('1_Combustibles fòssils'!R53*'1_Combustibles fòssils'!S53)/1000,0)</f>
        <v>0</v>
      </c>
      <c r="X153">
        <v>0.15</v>
      </c>
      <c r="Y153" s="268" t="s">
        <v>57</v>
      </c>
      <c r="Z153" s="268">
        <f t="shared" si="31"/>
        <v>0.77500000000000002</v>
      </c>
      <c r="AA153" s="374">
        <f t="shared" si="31"/>
        <v>12.305653999999999</v>
      </c>
      <c r="AB153" s="375">
        <f t="shared" si="32"/>
        <v>2.1599999827199998E-6</v>
      </c>
      <c r="AC153" s="375">
        <f t="shared" si="32"/>
        <v>3.2399999740800002E-6</v>
      </c>
      <c r="AD153" s="375">
        <f t="shared" si="24"/>
        <v>2.0599664631202678E-5</v>
      </c>
      <c r="AE153" s="375">
        <f t="shared" si="25"/>
        <v>3.0899496946804016E-5</v>
      </c>
      <c r="AG153" s="379" t="e">
        <f t="shared" si="26"/>
        <v>#N/A</v>
      </c>
      <c r="AH153" s="379" t="str">
        <f>IF(ISNUMBER('1_Combustibles fòssils'!K53),'1_Combustibles fòssils'!K53*'1_Combustibles fòssils'!I53,"")</f>
        <v/>
      </c>
      <c r="AI153" s="379" t="str">
        <f t="shared" si="27"/>
        <v/>
      </c>
      <c r="AJ153" s="379" t="e">
        <f t="shared" si="28"/>
        <v>#N/A</v>
      </c>
      <c r="AK153" s="379" t="str">
        <f>IF(ISNUMBER('1_Combustibles fòssils'!L53),'1_Combustibles fòssils'!L53*'1_Combustibles fòssils'!I53,"")</f>
        <v/>
      </c>
      <c r="AL153" s="379" t="str">
        <f t="shared" si="29"/>
        <v/>
      </c>
      <c r="AN153" s="379" t="str">
        <f t="shared" si="30"/>
        <v/>
      </c>
      <c r="AO153" s="250" t="str">
        <f>IF(ISNUMBER('1_Combustibles fòssils'!M53),'1_Combustibles fòssils'!M53*'1_Combustibles fòssils'!I53,IF(ISNUMBER('1_Combustibles fòssils'!J53),AN153,""))</f>
        <v/>
      </c>
      <c r="AP153" s="262">
        <f>IF(ISNUMBER('1_Combustibles fòssils'!R53),('1_Combustibles fòssils'!R53*'1_Combustibles fòssils'!S53*$AP$146)/1000,0)</f>
        <v>0</v>
      </c>
    </row>
    <row r="154" spans="2:44" x14ac:dyDescent="0.25">
      <c r="C154" s="259">
        <f>'1_Combustibles fòssils'!H54</f>
        <v>0</v>
      </c>
      <c r="D154" s="260" t="s">
        <v>62</v>
      </c>
      <c r="E154" s="248">
        <f t="shared" si="22"/>
        <v>0</v>
      </c>
      <c r="F154" s="248">
        <f t="shared" si="22"/>
        <v>0</v>
      </c>
      <c r="G154" s="248">
        <f t="shared" si="22"/>
        <v>0</v>
      </c>
      <c r="H154" s="248">
        <f t="shared" si="22"/>
        <v>0</v>
      </c>
      <c r="I154" s="248">
        <f t="shared" si="22"/>
        <v>0</v>
      </c>
      <c r="J154" s="248">
        <f t="shared" si="22"/>
        <v>0</v>
      </c>
      <c r="K154" s="248">
        <f t="shared" si="22"/>
        <v>0</v>
      </c>
      <c r="L154" s="248">
        <f t="shared" si="22"/>
        <v>0</v>
      </c>
      <c r="M154" s="248">
        <f t="shared" si="22"/>
        <v>0</v>
      </c>
      <c r="N154" s="248">
        <f t="shared" si="22"/>
        <v>0</v>
      </c>
      <c r="Q154" s="261" t="e">
        <f t="shared" si="23"/>
        <v>#N/A</v>
      </c>
      <c r="R154" s="250" t="str">
        <f>IF(ISNUMBER('1_Combustibles fòssils'!J54),'1_Combustibles fòssils'!J54*'1_Combustibles fòssils'!I54,"")</f>
        <v/>
      </c>
      <c r="S154" s="262">
        <f>IF(ISNUMBER('1_Combustibles fòssils'!R54),('1_Combustibles fòssils'!R54*'1_Combustibles fòssils'!S54)/1000,0)</f>
        <v>0</v>
      </c>
      <c r="X154">
        <v>0</v>
      </c>
      <c r="Y154" s="268" t="s">
        <v>62</v>
      </c>
      <c r="Z154" s="268">
        <f t="shared" si="31"/>
        <v>0.77500000000000002</v>
      </c>
      <c r="AA154" s="374">
        <f t="shared" si="31"/>
        <v>12.305653999999999</v>
      </c>
      <c r="AB154" s="375">
        <f t="shared" si="32"/>
        <v>0</v>
      </c>
      <c r="AC154" s="375">
        <f t="shared" si="32"/>
        <v>0</v>
      </c>
      <c r="AD154" s="375">
        <f t="shared" si="24"/>
        <v>0</v>
      </c>
      <c r="AE154" s="375">
        <f t="shared" si="25"/>
        <v>0</v>
      </c>
      <c r="AG154" s="379" t="e">
        <f t="shared" si="26"/>
        <v>#N/A</v>
      </c>
      <c r="AH154" s="379" t="str">
        <f>IF(ISNUMBER('1_Combustibles fòssils'!K54),'1_Combustibles fòssils'!K54*'1_Combustibles fòssils'!I54,"")</f>
        <v/>
      </c>
      <c r="AI154" s="379" t="str">
        <f t="shared" si="27"/>
        <v/>
      </c>
      <c r="AJ154" s="379" t="e">
        <f t="shared" si="28"/>
        <v>#N/A</v>
      </c>
      <c r="AK154" s="379" t="str">
        <f>IF(ISNUMBER('1_Combustibles fòssils'!L54),'1_Combustibles fòssils'!L54*'1_Combustibles fòssils'!I54,"")</f>
        <v/>
      </c>
      <c r="AL154" s="379" t="str">
        <f t="shared" si="29"/>
        <v/>
      </c>
      <c r="AN154" s="379" t="str">
        <f t="shared" si="30"/>
        <v/>
      </c>
      <c r="AO154" s="250" t="str">
        <f>IF(ISNUMBER('1_Combustibles fòssils'!M54),'1_Combustibles fòssils'!M54*'1_Combustibles fòssils'!I54,IF(ISNUMBER('1_Combustibles fòssils'!J54),AN154,""))</f>
        <v/>
      </c>
      <c r="AP154" s="262">
        <f>IF(ISNUMBER('1_Combustibles fòssils'!R54),('1_Combustibles fòssils'!R54*'1_Combustibles fòssils'!S54*$AP$146)/1000,0)</f>
        <v>0</v>
      </c>
    </row>
    <row r="155" spans="2:44" x14ac:dyDescent="0.25">
      <c r="C155" s="259">
        <f>'1_Combustibles fòssils'!H55</f>
        <v>0</v>
      </c>
      <c r="D155" s="260" t="s">
        <v>65</v>
      </c>
      <c r="E155" s="248">
        <f t="shared" si="22"/>
        <v>2.4670000000000001</v>
      </c>
      <c r="F155" s="248">
        <f t="shared" si="22"/>
        <v>2.4670000000000001</v>
      </c>
      <c r="G155" s="248">
        <f t="shared" si="22"/>
        <v>2.4670000000000001</v>
      </c>
      <c r="H155" s="248">
        <f t="shared" si="22"/>
        <v>2.4670000000000001</v>
      </c>
      <c r="I155" s="248">
        <f t="shared" si="22"/>
        <v>2.4670000000000001</v>
      </c>
      <c r="J155" s="248">
        <f t="shared" si="22"/>
        <v>2.4670000000000001</v>
      </c>
      <c r="K155" s="248">
        <f t="shared" si="22"/>
        <v>2.4670000000000001</v>
      </c>
      <c r="L155" s="248">
        <f t="shared" si="22"/>
        <v>2.4670000000000001</v>
      </c>
      <c r="M155" s="248">
        <f t="shared" si="22"/>
        <v>2.4670000000000001</v>
      </c>
      <c r="N155" s="248">
        <f t="shared" si="22"/>
        <v>2.456</v>
      </c>
      <c r="Q155" s="261" t="e">
        <f t="shared" si="23"/>
        <v>#N/A</v>
      </c>
      <c r="R155" s="250" t="str">
        <f>IF(ISNUMBER('1_Combustibles fòssils'!J55),'1_Combustibles fòssils'!J55*'1_Combustibles fòssils'!I55,"")</f>
        <v/>
      </c>
      <c r="S155" s="262">
        <f>IF(ISNUMBER('1_Combustibles fòssils'!R55),('1_Combustibles fòssils'!R55*'1_Combustibles fòssils'!S55)/1000,0)</f>
        <v>0</v>
      </c>
      <c r="X155">
        <v>0.93</v>
      </c>
      <c r="Y155" s="268" t="s">
        <v>65</v>
      </c>
      <c r="Z155" s="268">
        <f>Z$149</f>
        <v>0.84499999999999997</v>
      </c>
      <c r="AA155" s="374">
        <f>AA$149</f>
        <v>11.94454</v>
      </c>
      <c r="AB155" s="375">
        <f>AB$149</f>
        <v>1.4039999887679998E-5</v>
      </c>
      <c r="AC155" s="375">
        <f>AC$149</f>
        <v>1.4039999887679998E-5</v>
      </c>
      <c r="AD155" s="375">
        <f t="shared" si="24"/>
        <v>1.417076325183389E-4</v>
      </c>
      <c r="AE155" s="375">
        <f t="shared" si="25"/>
        <v>1.417076325183389E-4</v>
      </c>
      <c r="AG155" s="379" t="e">
        <f t="shared" si="26"/>
        <v>#N/A</v>
      </c>
      <c r="AH155" s="379" t="str">
        <f>IF(ISNUMBER('1_Combustibles fòssils'!K55),'1_Combustibles fòssils'!K55*'1_Combustibles fòssils'!I55,"")</f>
        <v/>
      </c>
      <c r="AI155" s="379" t="str">
        <f t="shared" si="27"/>
        <v/>
      </c>
      <c r="AJ155" s="379" t="e">
        <f t="shared" si="28"/>
        <v>#N/A</v>
      </c>
      <c r="AK155" s="379" t="str">
        <f>IF(ISNUMBER('1_Combustibles fòssils'!L55),'1_Combustibles fòssils'!L55*'1_Combustibles fòssils'!I55,"")</f>
        <v/>
      </c>
      <c r="AL155" s="379" t="str">
        <f t="shared" si="29"/>
        <v/>
      </c>
      <c r="AN155" s="379" t="str">
        <f t="shared" si="30"/>
        <v/>
      </c>
      <c r="AO155" s="250" t="str">
        <f>IF(ISNUMBER('1_Combustibles fòssils'!M55),'1_Combustibles fòssils'!M55*'1_Combustibles fòssils'!I55,IF(ISNUMBER('1_Combustibles fòssils'!J55),AN155,""))</f>
        <v/>
      </c>
      <c r="AP155" s="262">
        <f>IF(ISNUMBER('1_Combustibles fòssils'!R55),('1_Combustibles fòssils'!R55*'1_Combustibles fòssils'!S55*$AP$146)/1000,0)</f>
        <v>0</v>
      </c>
    </row>
    <row r="156" spans="2:44" x14ac:dyDescent="0.25">
      <c r="C156" s="259">
        <f>'1_Combustibles fòssils'!H56</f>
        <v>0</v>
      </c>
      <c r="D156" s="260" t="s">
        <v>67</v>
      </c>
      <c r="E156" s="248">
        <f t="shared" si="22"/>
        <v>2.387</v>
      </c>
      <c r="F156" s="248">
        <f t="shared" si="22"/>
        <v>2.387</v>
      </c>
      <c r="G156" s="248">
        <f t="shared" si="22"/>
        <v>2.387</v>
      </c>
      <c r="H156" s="248">
        <f t="shared" si="22"/>
        <v>2.387</v>
      </c>
      <c r="I156" s="248">
        <f t="shared" si="22"/>
        <v>2.387</v>
      </c>
      <c r="J156" s="248">
        <f t="shared" si="22"/>
        <v>2.387</v>
      </c>
      <c r="K156" s="248">
        <f t="shared" si="22"/>
        <v>2.387</v>
      </c>
      <c r="L156" s="248">
        <f t="shared" si="22"/>
        <v>2.387</v>
      </c>
      <c r="M156" s="248">
        <f t="shared" si="22"/>
        <v>2.387</v>
      </c>
      <c r="N156" s="248">
        <f t="shared" si="22"/>
        <v>2.3769999999999998</v>
      </c>
      <c r="Q156" s="261" t="e">
        <f t="shared" si="23"/>
        <v>#N/A</v>
      </c>
      <c r="R156" s="250" t="str">
        <f>IF(ISNUMBER('1_Combustibles fòssils'!J56),'1_Combustibles fòssils'!J56*'1_Combustibles fòssils'!I56,"")</f>
        <v/>
      </c>
      <c r="S156" s="262">
        <f>IF(ISNUMBER('1_Combustibles fòssils'!R56),('1_Combustibles fòssils'!R56*'1_Combustibles fòssils'!S56)/1000,0)</f>
        <v>0</v>
      </c>
      <c r="X156">
        <v>0.9</v>
      </c>
      <c r="Y156" s="268" t="s">
        <v>67</v>
      </c>
      <c r="Z156" s="268">
        <f t="shared" ref="Z156:AA159" si="33">Z$149</f>
        <v>0.84499999999999997</v>
      </c>
      <c r="AA156" s="374">
        <f t="shared" si="33"/>
        <v>11.94454</v>
      </c>
      <c r="AB156" s="375">
        <f t="shared" ref="AB156:AC159" si="34">AB$155*$X156/$X$155</f>
        <v>1.3587096665496773E-5</v>
      </c>
      <c r="AC156" s="375">
        <f t="shared" si="34"/>
        <v>1.3587096665496773E-5</v>
      </c>
      <c r="AD156" s="375">
        <f t="shared" si="24"/>
        <v>1.3713641856613444E-4</v>
      </c>
      <c r="AE156" s="375">
        <f t="shared" si="25"/>
        <v>1.3713641856613444E-4</v>
      </c>
      <c r="AG156" s="379" t="e">
        <f t="shared" si="26"/>
        <v>#N/A</v>
      </c>
      <c r="AH156" s="379" t="str">
        <f>IF(ISNUMBER('1_Combustibles fòssils'!K56),'1_Combustibles fòssils'!K56*'1_Combustibles fòssils'!I56,"")</f>
        <v/>
      </c>
      <c r="AI156" s="379" t="str">
        <f t="shared" si="27"/>
        <v/>
      </c>
      <c r="AJ156" s="379" t="e">
        <f t="shared" si="28"/>
        <v>#N/A</v>
      </c>
      <c r="AK156" s="379" t="str">
        <f>IF(ISNUMBER('1_Combustibles fòssils'!L56),'1_Combustibles fòssils'!L56*'1_Combustibles fòssils'!I56,"")</f>
        <v/>
      </c>
      <c r="AL156" s="379" t="str">
        <f t="shared" si="29"/>
        <v/>
      </c>
      <c r="AN156" s="379" t="str">
        <f t="shared" si="30"/>
        <v/>
      </c>
      <c r="AO156" s="250" t="str">
        <f>IF(ISNUMBER('1_Combustibles fòssils'!M56),'1_Combustibles fòssils'!M56*'1_Combustibles fòssils'!I56,IF(ISNUMBER('1_Combustibles fòssils'!J56),AN156,""))</f>
        <v/>
      </c>
      <c r="AP156" s="262">
        <f>IF(ISNUMBER('1_Combustibles fòssils'!R56),('1_Combustibles fòssils'!R56*'1_Combustibles fòssils'!S56*$AP$146)/1000,0)</f>
        <v>0</v>
      </c>
    </row>
    <row r="157" spans="2:44" x14ac:dyDescent="0.25">
      <c r="C157" s="259">
        <f>'1_Combustibles fòssils'!H57</f>
        <v>0</v>
      </c>
      <c r="D157" s="260" t="s">
        <v>68</v>
      </c>
      <c r="E157" s="248">
        <f t="shared" si="22"/>
        <v>2.1219999999999999</v>
      </c>
      <c r="F157" s="248">
        <f t="shared" si="22"/>
        <v>2.1219999999999999</v>
      </c>
      <c r="G157" s="248">
        <f t="shared" si="22"/>
        <v>2.1219999999999999</v>
      </c>
      <c r="H157" s="248">
        <f t="shared" si="22"/>
        <v>2.1219999999999999</v>
      </c>
      <c r="I157" s="248">
        <f t="shared" si="22"/>
        <v>2.1219999999999999</v>
      </c>
      <c r="J157" s="248">
        <f t="shared" si="22"/>
        <v>2.1219999999999999</v>
      </c>
      <c r="K157" s="248">
        <f t="shared" si="22"/>
        <v>2.1219999999999999</v>
      </c>
      <c r="L157" s="248">
        <f t="shared" si="22"/>
        <v>2.1219999999999999</v>
      </c>
      <c r="M157" s="248">
        <f t="shared" si="22"/>
        <v>2.1219999999999999</v>
      </c>
      <c r="N157" s="248">
        <f t="shared" si="22"/>
        <v>2.113</v>
      </c>
      <c r="Q157" s="261" t="e">
        <f t="shared" si="23"/>
        <v>#N/A</v>
      </c>
      <c r="R157" s="250" t="str">
        <f>IF(ISNUMBER('1_Combustibles fòssils'!J57),'1_Combustibles fòssils'!J57*'1_Combustibles fòssils'!I57,"")</f>
        <v/>
      </c>
      <c r="S157" s="262">
        <f>IF(ISNUMBER('1_Combustibles fòssils'!R57),('1_Combustibles fòssils'!R57*'1_Combustibles fòssils'!S57)/1000,0)</f>
        <v>0</v>
      </c>
      <c r="X157">
        <v>0.8</v>
      </c>
      <c r="Y157" s="268" t="s">
        <v>68</v>
      </c>
      <c r="Z157" s="268">
        <f t="shared" si="33"/>
        <v>0.84499999999999997</v>
      </c>
      <c r="AA157" s="374">
        <f t="shared" si="33"/>
        <v>11.94454</v>
      </c>
      <c r="AB157" s="375">
        <f t="shared" si="34"/>
        <v>1.2077419258219354E-5</v>
      </c>
      <c r="AC157" s="375">
        <f t="shared" si="34"/>
        <v>1.2077419258219354E-5</v>
      </c>
      <c r="AD157" s="375">
        <f t="shared" si="24"/>
        <v>1.2189903872545282E-4</v>
      </c>
      <c r="AE157" s="375">
        <f t="shared" si="25"/>
        <v>1.2189903872545282E-4</v>
      </c>
      <c r="AG157" s="379" t="e">
        <f t="shared" si="26"/>
        <v>#N/A</v>
      </c>
      <c r="AH157" s="379" t="str">
        <f>IF(ISNUMBER('1_Combustibles fòssils'!K57),'1_Combustibles fòssils'!K57*'1_Combustibles fòssils'!I57,"")</f>
        <v/>
      </c>
      <c r="AI157" s="379" t="str">
        <f t="shared" si="27"/>
        <v/>
      </c>
      <c r="AJ157" s="379" t="e">
        <f t="shared" si="28"/>
        <v>#N/A</v>
      </c>
      <c r="AK157" s="379" t="str">
        <f>IF(ISNUMBER('1_Combustibles fòssils'!L57),'1_Combustibles fòssils'!L57*'1_Combustibles fòssils'!I57,"")</f>
        <v/>
      </c>
      <c r="AL157" s="379" t="str">
        <f t="shared" si="29"/>
        <v/>
      </c>
      <c r="AN157" s="379" t="str">
        <f t="shared" si="30"/>
        <v/>
      </c>
      <c r="AO157" s="250" t="str">
        <f>IF(ISNUMBER('1_Combustibles fòssils'!M57),'1_Combustibles fòssils'!M57*'1_Combustibles fòssils'!I57,IF(ISNUMBER('1_Combustibles fòssils'!J57),AN157,""))</f>
        <v/>
      </c>
      <c r="AP157" s="262">
        <f>IF(ISNUMBER('1_Combustibles fòssils'!R57),('1_Combustibles fòssils'!R57*'1_Combustibles fòssils'!S57*$AP$146)/1000,0)</f>
        <v>0</v>
      </c>
    </row>
    <row r="158" spans="2:44" x14ac:dyDescent="0.25">
      <c r="C158" s="259">
        <f>'1_Combustibles fòssils'!H58</f>
        <v>0</v>
      </c>
      <c r="D158" s="260" t="s">
        <v>70</v>
      </c>
      <c r="E158" s="248">
        <f t="shared" ref="E158:N166" si="35">INDEX($D$84:$M$112,MATCH($D158,$C$84:$C$112,0),MATCH(E$145,$D$83:$M$83,0))</f>
        <v>1.857</v>
      </c>
      <c r="F158" s="248">
        <f t="shared" si="35"/>
        <v>1.857</v>
      </c>
      <c r="G158" s="248">
        <f t="shared" si="35"/>
        <v>1.857</v>
      </c>
      <c r="H158" s="248">
        <f t="shared" si="35"/>
        <v>1.857</v>
      </c>
      <c r="I158" s="248">
        <f t="shared" si="35"/>
        <v>1.857</v>
      </c>
      <c r="J158" s="248">
        <f t="shared" si="35"/>
        <v>1.857</v>
      </c>
      <c r="K158" s="248">
        <f t="shared" si="35"/>
        <v>1.857</v>
      </c>
      <c r="L158" s="248">
        <f t="shared" si="35"/>
        <v>1.857</v>
      </c>
      <c r="M158" s="248">
        <f t="shared" si="35"/>
        <v>1.857</v>
      </c>
      <c r="N158" s="248">
        <f t="shared" si="35"/>
        <v>1.849</v>
      </c>
      <c r="Q158" s="261" t="e">
        <f t="shared" si="23"/>
        <v>#N/A</v>
      </c>
      <c r="R158" s="250" t="str">
        <f>IF(ISNUMBER('1_Combustibles fòssils'!J58),'1_Combustibles fòssils'!J58*'1_Combustibles fòssils'!I58,"")</f>
        <v/>
      </c>
      <c r="S158" s="262">
        <f>IF(ISNUMBER('1_Combustibles fòssils'!R58),('1_Combustibles fòssils'!R58*'1_Combustibles fòssils'!S58)/1000,0)</f>
        <v>0</v>
      </c>
      <c r="X158">
        <v>0.7</v>
      </c>
      <c r="Y158" s="268" t="s">
        <v>70</v>
      </c>
      <c r="Z158" s="268">
        <f t="shared" si="33"/>
        <v>0.84499999999999997</v>
      </c>
      <c r="AA158" s="374">
        <f t="shared" si="33"/>
        <v>11.94454</v>
      </c>
      <c r="AB158" s="375">
        <f t="shared" si="34"/>
        <v>1.0567741850941932E-5</v>
      </c>
      <c r="AC158" s="375">
        <f t="shared" si="34"/>
        <v>1.0567741850941932E-5</v>
      </c>
      <c r="AD158" s="375">
        <f t="shared" si="24"/>
        <v>1.0666165888477121E-4</v>
      </c>
      <c r="AE158" s="375">
        <f t="shared" si="25"/>
        <v>1.0666165888477121E-4</v>
      </c>
      <c r="AG158" s="379" t="e">
        <f t="shared" si="26"/>
        <v>#N/A</v>
      </c>
      <c r="AH158" s="379" t="str">
        <f>IF(ISNUMBER('1_Combustibles fòssils'!K58),'1_Combustibles fòssils'!K58*'1_Combustibles fòssils'!I58,"")</f>
        <v/>
      </c>
      <c r="AI158" s="379" t="str">
        <f t="shared" si="27"/>
        <v/>
      </c>
      <c r="AJ158" s="379" t="e">
        <f t="shared" si="28"/>
        <v>#N/A</v>
      </c>
      <c r="AK158" s="379" t="str">
        <f>IF(ISNUMBER('1_Combustibles fòssils'!L58),'1_Combustibles fòssils'!L58*'1_Combustibles fòssils'!I58,"")</f>
        <v/>
      </c>
      <c r="AL158" s="379" t="str">
        <f t="shared" si="29"/>
        <v/>
      </c>
      <c r="AN158" s="379" t="str">
        <f t="shared" si="30"/>
        <v/>
      </c>
      <c r="AO158" s="250" t="str">
        <f>IF(ISNUMBER('1_Combustibles fòssils'!M58),'1_Combustibles fòssils'!M58*'1_Combustibles fòssils'!I58,IF(ISNUMBER('1_Combustibles fòssils'!J58),AN158,""))</f>
        <v/>
      </c>
      <c r="AP158" s="262">
        <f>IF(ISNUMBER('1_Combustibles fòssils'!R58),('1_Combustibles fòssils'!R58*'1_Combustibles fòssils'!S58*$AP$146)/1000,0)</f>
        <v>0</v>
      </c>
    </row>
    <row r="159" spans="2:44" x14ac:dyDescent="0.25">
      <c r="C159" s="259">
        <f>'1_Combustibles fòssils'!H59</f>
        <v>0</v>
      </c>
      <c r="D159" s="260" t="s">
        <v>71</v>
      </c>
      <c r="E159" s="248">
        <f t="shared" si="35"/>
        <v>0</v>
      </c>
      <c r="F159" s="248">
        <f t="shared" si="35"/>
        <v>0</v>
      </c>
      <c r="G159" s="248">
        <f t="shared" si="35"/>
        <v>0</v>
      </c>
      <c r="H159" s="248">
        <f t="shared" si="35"/>
        <v>0</v>
      </c>
      <c r="I159" s="248">
        <f t="shared" si="35"/>
        <v>0</v>
      </c>
      <c r="J159" s="248">
        <f t="shared" si="35"/>
        <v>0</v>
      </c>
      <c r="K159" s="248">
        <f t="shared" si="35"/>
        <v>0</v>
      </c>
      <c r="L159" s="248">
        <f t="shared" si="35"/>
        <v>0</v>
      </c>
      <c r="M159" s="248">
        <f t="shared" si="35"/>
        <v>0</v>
      </c>
      <c r="N159" s="248">
        <f t="shared" si="35"/>
        <v>0</v>
      </c>
      <c r="Q159" s="261" t="e">
        <f t="shared" si="23"/>
        <v>#N/A</v>
      </c>
      <c r="R159" s="250" t="str">
        <f>IF(ISNUMBER('1_Combustibles fòssils'!J59),'1_Combustibles fòssils'!J59*'1_Combustibles fòssils'!I59,"")</f>
        <v/>
      </c>
      <c r="S159" s="262">
        <f>IF(ISNUMBER('1_Combustibles fòssils'!R59),('1_Combustibles fòssils'!R59*'1_Combustibles fòssils'!S59)/1000,0)</f>
        <v>0</v>
      </c>
      <c r="X159">
        <v>0</v>
      </c>
      <c r="Y159" s="268" t="s">
        <v>71</v>
      </c>
      <c r="Z159" s="268">
        <f t="shared" si="33"/>
        <v>0.84499999999999997</v>
      </c>
      <c r="AA159" s="374">
        <f t="shared" si="33"/>
        <v>11.94454</v>
      </c>
      <c r="AB159" s="375">
        <f t="shared" si="34"/>
        <v>0</v>
      </c>
      <c r="AC159" s="375">
        <f t="shared" si="34"/>
        <v>0</v>
      </c>
      <c r="AD159" s="375">
        <f t="shared" si="24"/>
        <v>0</v>
      </c>
      <c r="AE159" s="375">
        <f t="shared" si="25"/>
        <v>0</v>
      </c>
      <c r="AG159" s="379" t="e">
        <f t="shared" si="26"/>
        <v>#N/A</v>
      </c>
      <c r="AH159" s="379" t="str">
        <f>IF(ISNUMBER('1_Combustibles fòssils'!K59),'1_Combustibles fòssils'!K59*'1_Combustibles fòssils'!I59,"")</f>
        <v/>
      </c>
      <c r="AI159" s="379" t="str">
        <f t="shared" si="27"/>
        <v/>
      </c>
      <c r="AJ159" s="379" t="e">
        <f t="shared" si="28"/>
        <v>#N/A</v>
      </c>
      <c r="AK159" s="379" t="str">
        <f>IF(ISNUMBER('1_Combustibles fòssils'!L59),'1_Combustibles fòssils'!L59*'1_Combustibles fòssils'!I59,"")</f>
        <v/>
      </c>
      <c r="AL159" s="379" t="str">
        <f t="shared" si="29"/>
        <v/>
      </c>
      <c r="AN159" s="379" t="str">
        <f t="shared" si="30"/>
        <v/>
      </c>
      <c r="AO159" s="250" t="str">
        <f>IF(ISNUMBER('1_Combustibles fòssils'!M59),'1_Combustibles fòssils'!M59*'1_Combustibles fòssils'!I59,IF(ISNUMBER('1_Combustibles fòssils'!J59),AN159,""))</f>
        <v/>
      </c>
      <c r="AP159" s="262">
        <f>IF(ISNUMBER('1_Combustibles fòssils'!R59),('1_Combustibles fòssils'!R59*'1_Combustibles fòssils'!S59*$AP$146)/1000,0)</f>
        <v>0</v>
      </c>
    </row>
    <row r="160" spans="2:44" x14ac:dyDescent="0.25">
      <c r="C160" s="259">
        <f>'1_Combustibles fòssils'!H60</f>
        <v>0</v>
      </c>
      <c r="D160" s="260" t="s">
        <v>72</v>
      </c>
      <c r="E160" s="248">
        <f t="shared" si="35"/>
        <v>0</v>
      </c>
      <c r="F160" s="248">
        <f t="shared" si="35"/>
        <v>0</v>
      </c>
      <c r="G160" s="248">
        <f t="shared" si="35"/>
        <v>0</v>
      </c>
      <c r="H160" s="248">
        <f t="shared" si="35"/>
        <v>0</v>
      </c>
      <c r="I160" s="248">
        <f t="shared" si="35"/>
        <v>0</v>
      </c>
      <c r="J160" s="248">
        <f t="shared" si="35"/>
        <v>0</v>
      </c>
      <c r="K160" s="248">
        <f t="shared" si="35"/>
        <v>0</v>
      </c>
      <c r="L160" s="248">
        <f t="shared" si="35"/>
        <v>0</v>
      </c>
      <c r="M160" s="248">
        <f t="shared" si="35"/>
        <v>0</v>
      </c>
      <c r="N160" s="248">
        <f t="shared" si="35"/>
        <v>0</v>
      </c>
      <c r="Q160" s="261" t="e">
        <f t="shared" si="23"/>
        <v>#N/A</v>
      </c>
      <c r="R160" s="250" t="str">
        <f>IF(ISNUMBER('1_Combustibles fòssils'!J60),'1_Combustibles fòssils'!J60*'1_Combustibles fòssils'!I60,"")</f>
        <v/>
      </c>
      <c r="S160" s="262">
        <f>IF(ISNUMBER('1_Combustibles fòssils'!R60),('1_Combustibles fòssils'!R60*'1_Combustibles fòssils'!S60)/1000,0)</f>
        <v>0</v>
      </c>
      <c r="Y160" s="268" t="s">
        <v>72</v>
      </c>
      <c r="Z160" s="268" t="s">
        <v>106</v>
      </c>
      <c r="AA160" s="374" t="s">
        <v>106</v>
      </c>
      <c r="AB160" s="375">
        <v>0</v>
      </c>
      <c r="AC160" s="375">
        <v>0</v>
      </c>
      <c r="AD160" s="375">
        <v>0</v>
      </c>
      <c r="AE160" s="375">
        <v>0</v>
      </c>
      <c r="AG160" s="379" t="e">
        <f t="shared" si="26"/>
        <v>#N/A</v>
      </c>
      <c r="AH160" s="379" t="str">
        <f>IF(ISNUMBER('1_Combustibles fòssils'!K60),'1_Combustibles fòssils'!K60*'1_Combustibles fòssils'!I60,"")</f>
        <v/>
      </c>
      <c r="AI160" s="379" t="str">
        <f t="shared" si="27"/>
        <v/>
      </c>
      <c r="AJ160" s="379" t="e">
        <f t="shared" si="28"/>
        <v>#N/A</v>
      </c>
      <c r="AK160" s="379" t="str">
        <f>IF(ISNUMBER('1_Combustibles fòssils'!L60),'1_Combustibles fòssils'!L60*'1_Combustibles fòssils'!I60,"")</f>
        <v/>
      </c>
      <c r="AL160" s="379" t="str">
        <f t="shared" si="29"/>
        <v/>
      </c>
      <c r="AN160" s="379" t="str">
        <f t="shared" si="30"/>
        <v/>
      </c>
      <c r="AO160" s="250" t="str">
        <f>IF(ISNUMBER('1_Combustibles fòssils'!M60),'1_Combustibles fòssils'!M60*'1_Combustibles fòssils'!I60,IF(ISNUMBER('1_Combustibles fòssils'!J60),AN160,""))</f>
        <v/>
      </c>
      <c r="AP160" s="262">
        <f>IF(ISNUMBER('1_Combustibles fòssils'!R60),('1_Combustibles fòssils'!R60*'1_Combustibles fòssils'!S60*$AP$146)/1000,0)</f>
        <v>0</v>
      </c>
    </row>
    <row r="161" spans="1:42" x14ac:dyDescent="0.25">
      <c r="C161" s="259">
        <f>'1_Combustibles fòssils'!H61</f>
        <v>0</v>
      </c>
      <c r="D161" s="260" t="s">
        <v>102</v>
      </c>
      <c r="E161" s="248">
        <f t="shared" si="35"/>
        <v>2.7429999999999999</v>
      </c>
      <c r="F161" s="248">
        <f t="shared" si="35"/>
        <v>2.7229999999999999</v>
      </c>
      <c r="G161" s="248">
        <f t="shared" si="35"/>
        <v>2.7130000000000001</v>
      </c>
      <c r="H161" s="248">
        <f t="shared" si="35"/>
        <v>2.7130000000000001</v>
      </c>
      <c r="I161" s="248">
        <f t="shared" si="35"/>
        <v>2.6970000000000001</v>
      </c>
      <c r="J161" s="248">
        <f t="shared" si="35"/>
        <v>2.7050000000000001</v>
      </c>
      <c r="K161" s="248">
        <f t="shared" si="35"/>
        <v>2.7040000000000002</v>
      </c>
      <c r="L161" s="248">
        <f t="shared" si="35"/>
        <v>2.71</v>
      </c>
      <c r="M161" s="248">
        <f t="shared" si="35"/>
        <v>2.6970000000000001</v>
      </c>
      <c r="N161" s="248">
        <f t="shared" si="35"/>
        <v>2.7210000000000001</v>
      </c>
      <c r="Q161" s="261" t="e">
        <f t="shared" si="23"/>
        <v>#N/A</v>
      </c>
      <c r="R161" s="250" t="str">
        <f>IF(ISNUMBER('1_Combustibles fòssils'!J61),'1_Combustibles fòssils'!J61*'1_Combustibles fòssils'!I61,"")</f>
        <v/>
      </c>
      <c r="S161" s="262">
        <f>IF(ISNUMBER('1_Combustibles fòssils'!R61),('1_Combustibles fòssils'!R61*'1_Combustibles fòssils'!S61)/1000,0)</f>
        <v>0</v>
      </c>
      <c r="Y161" s="268" t="s">
        <v>102</v>
      </c>
      <c r="Z161" s="268" t="s">
        <v>106</v>
      </c>
      <c r="AA161" s="374">
        <f>48.52*277.78/1000</f>
        <v>13.4778856</v>
      </c>
      <c r="AB161" s="375">
        <f>92/277777.78</f>
        <v>3.3119999735039998E-4</v>
      </c>
      <c r="AC161" s="375">
        <f>3/277777.78</f>
        <v>1.07999999136E-5</v>
      </c>
      <c r="AD161" s="375">
        <f t="shared" ref="AD161:AD162" si="36">AA161*AB161</f>
        <v>4.463875675008994E-3</v>
      </c>
      <c r="AE161" s="375">
        <f t="shared" ref="AE161:AE162" si="37">AA161*AC161</f>
        <v>1.4556116331551069E-4</v>
      </c>
      <c r="AG161" s="379" t="e">
        <f t="shared" si="26"/>
        <v>#N/A</v>
      </c>
      <c r="AH161" s="379" t="str">
        <f>IF(ISNUMBER('1_Combustibles fòssils'!K61),'1_Combustibles fòssils'!K61*'1_Combustibles fòssils'!I61,"")</f>
        <v/>
      </c>
      <c r="AI161" s="379" t="str">
        <f t="shared" si="27"/>
        <v/>
      </c>
      <c r="AJ161" s="379" t="e">
        <f t="shared" si="28"/>
        <v>#N/A</v>
      </c>
      <c r="AK161" s="379" t="str">
        <f>IF(ISNUMBER('1_Combustibles fòssils'!L61),'1_Combustibles fòssils'!L61*'1_Combustibles fòssils'!I61,"")</f>
        <v/>
      </c>
      <c r="AL161" s="379" t="str">
        <f t="shared" si="29"/>
        <v/>
      </c>
      <c r="AN161" s="379" t="str">
        <f t="shared" si="30"/>
        <v/>
      </c>
      <c r="AO161" s="250" t="str">
        <f>IF(ISNUMBER('1_Combustibles fòssils'!M61),'1_Combustibles fòssils'!M61*'1_Combustibles fòssils'!I61,IF(ISNUMBER('1_Combustibles fòssils'!J61),AN161,""))</f>
        <v/>
      </c>
      <c r="AP161" s="262">
        <f>IF(ISNUMBER('1_Combustibles fòssils'!R61),('1_Combustibles fòssils'!R61*'1_Combustibles fòssils'!S61*$AP$146)/1000,0)</f>
        <v>0</v>
      </c>
    </row>
    <row r="162" spans="1:42" x14ac:dyDescent="0.25">
      <c r="C162" s="259">
        <f>'1_Combustibles fòssils'!H62</f>
        <v>0</v>
      </c>
      <c r="D162" s="260" t="s">
        <v>74</v>
      </c>
      <c r="E162" s="248">
        <f t="shared" si="35"/>
        <v>2.7429999999999999</v>
      </c>
      <c r="F162" s="248">
        <f t="shared" si="35"/>
        <v>2.7229999999999999</v>
      </c>
      <c r="G162" s="248">
        <f t="shared" si="35"/>
        <v>2.7130000000000001</v>
      </c>
      <c r="H162" s="248">
        <f t="shared" si="35"/>
        <v>2.7130000000000001</v>
      </c>
      <c r="I162" s="248">
        <f t="shared" si="35"/>
        <v>2.6970000000000001</v>
      </c>
      <c r="J162" s="248">
        <f t="shared" si="35"/>
        <v>2.7050000000000001</v>
      </c>
      <c r="K162" s="248">
        <f t="shared" si="35"/>
        <v>2.7040000000000002</v>
      </c>
      <c r="L162" s="248">
        <f t="shared" si="35"/>
        <v>2.71</v>
      </c>
      <c r="M162" s="248">
        <f t="shared" si="35"/>
        <v>2.6970000000000001</v>
      </c>
      <c r="N162" s="248">
        <f t="shared" si="35"/>
        <v>2.7210000000000001</v>
      </c>
      <c r="Q162" s="261" t="e">
        <f t="shared" si="23"/>
        <v>#N/A</v>
      </c>
      <c r="R162" s="250" t="str">
        <f>IF(ISNUMBER('1_Combustibles fòssils'!J62),'1_Combustibles fòssils'!J62*'1_Combustibles fòssils'!I62,"")</f>
        <v/>
      </c>
      <c r="S162" s="262">
        <f>IF(ISNUMBER('1_Combustibles fòssils'!R62),('1_Combustibles fòssils'!R62*'1_Combustibles fòssils'!S62)/1000,0)</f>
        <v>0</v>
      </c>
      <c r="Y162" s="268" t="s">
        <v>74</v>
      </c>
      <c r="Z162" s="268" t="s">
        <v>106</v>
      </c>
      <c r="AA162" s="374">
        <f>48.52*277.78/1000</f>
        <v>13.4778856</v>
      </c>
      <c r="AB162" s="375">
        <f>92/277777.78</f>
        <v>3.3119999735039998E-4</v>
      </c>
      <c r="AC162" s="375">
        <f>3/277777.78</f>
        <v>1.07999999136E-5</v>
      </c>
      <c r="AD162" s="375">
        <f t="shared" si="36"/>
        <v>4.463875675008994E-3</v>
      </c>
      <c r="AE162" s="375">
        <f t="shared" si="37"/>
        <v>1.4556116331551069E-4</v>
      </c>
      <c r="AG162" s="379" t="e">
        <f t="shared" si="26"/>
        <v>#N/A</v>
      </c>
      <c r="AH162" s="379" t="str">
        <f>IF(ISNUMBER('1_Combustibles fòssils'!K62),'1_Combustibles fòssils'!K62*'1_Combustibles fòssils'!I62,"")</f>
        <v/>
      </c>
      <c r="AI162" s="379" t="str">
        <f t="shared" si="27"/>
        <v/>
      </c>
      <c r="AJ162" s="379" t="e">
        <f t="shared" si="28"/>
        <v>#N/A</v>
      </c>
      <c r="AK162" s="379" t="str">
        <f>IF(ISNUMBER('1_Combustibles fòssils'!L62),'1_Combustibles fòssils'!L62*'1_Combustibles fòssils'!I62,"")</f>
        <v/>
      </c>
      <c r="AL162" s="379" t="str">
        <f t="shared" si="29"/>
        <v/>
      </c>
      <c r="AN162" s="379" t="str">
        <f t="shared" si="30"/>
        <v/>
      </c>
      <c r="AO162" s="250" t="str">
        <f>IF(ISNUMBER('1_Combustibles fòssils'!M62),'1_Combustibles fòssils'!M62*'1_Combustibles fòssils'!I62,IF(ISNUMBER('1_Combustibles fòssils'!J62),AN162,""))</f>
        <v/>
      </c>
      <c r="AP162" s="262">
        <f>IF(ISNUMBER('1_Combustibles fòssils'!R62),('1_Combustibles fòssils'!R62*'1_Combustibles fòssils'!S62*$AP$146)/1000,0)</f>
        <v>0</v>
      </c>
    </row>
    <row r="163" spans="1:42" x14ac:dyDescent="0.25">
      <c r="C163" s="259">
        <f>'1_Combustibles fòssils'!H63</f>
        <v>0</v>
      </c>
      <c r="D163" s="260" t="s">
        <v>66</v>
      </c>
      <c r="E163" s="248">
        <f t="shared" si="35"/>
        <v>1.671</v>
      </c>
      <c r="F163" s="248">
        <f t="shared" si="35"/>
        <v>1.671</v>
      </c>
      <c r="G163" s="248">
        <f t="shared" si="35"/>
        <v>1.671</v>
      </c>
      <c r="H163" s="248">
        <f t="shared" si="35"/>
        <v>1.671</v>
      </c>
      <c r="I163" s="248">
        <f t="shared" si="35"/>
        <v>1.671</v>
      </c>
      <c r="J163" s="248">
        <f t="shared" si="35"/>
        <v>1.671</v>
      </c>
      <c r="K163" s="248">
        <f t="shared" si="35"/>
        <v>1.671</v>
      </c>
      <c r="L163" s="248">
        <f t="shared" si="35"/>
        <v>1.671</v>
      </c>
      <c r="M163" s="248">
        <f t="shared" si="35"/>
        <v>1.671</v>
      </c>
      <c r="N163" s="248">
        <f t="shared" si="35"/>
        <v>1.6279999999999999</v>
      </c>
      <c r="Q163" s="261" t="e">
        <f t="shared" si="23"/>
        <v>#N/A</v>
      </c>
      <c r="R163" s="250" t="str">
        <f>IF(ISNUMBER('1_Combustibles fòssils'!J63),'1_Combustibles fòssils'!J63*'1_Combustibles fòssils'!I63,"")</f>
        <v/>
      </c>
      <c r="S163" s="262">
        <f>IF(ISNUMBER('1_Combustibles fòssils'!R63),('1_Combustibles fòssils'!R63*'1_Combustibles fòssils'!S63)/1000,0)</f>
        <v>0</v>
      </c>
      <c r="Y163" s="268" t="s">
        <v>66</v>
      </c>
      <c r="Z163" s="268">
        <v>0.50760000000000005</v>
      </c>
      <c r="AA163" s="374">
        <f>47.3*277.78/1000</f>
        <v>13.138993999999999</v>
      </c>
      <c r="AB163" s="375">
        <f>62/277777.78</f>
        <v>2.2319999821439999E-4</v>
      </c>
      <c r="AC163" s="375">
        <f>0.2/277777.78</f>
        <v>7.1999999423999998E-7</v>
      </c>
      <c r="AD163" s="375">
        <f t="shared" ref="AD163" si="38">Z163*AA163*AB163</f>
        <v>1.4885996567932827E-3</v>
      </c>
      <c r="AE163" s="375">
        <f t="shared" ref="AE163" si="39">Z163*AA163*AC163</f>
        <v>4.8019343767525243E-6</v>
      </c>
      <c r="AG163" s="379" t="e">
        <f t="shared" si="26"/>
        <v>#N/A</v>
      </c>
      <c r="AH163" s="379" t="str">
        <f>IF(ISNUMBER('1_Combustibles fòssils'!K63),'1_Combustibles fòssils'!K63*'1_Combustibles fòssils'!I63,"")</f>
        <v/>
      </c>
      <c r="AI163" s="379" t="str">
        <f t="shared" si="27"/>
        <v/>
      </c>
      <c r="AJ163" s="379" t="e">
        <f t="shared" si="28"/>
        <v>#N/A</v>
      </c>
      <c r="AK163" s="379" t="str">
        <f>IF(ISNUMBER('1_Combustibles fòssils'!L63),'1_Combustibles fòssils'!L63*'1_Combustibles fòssils'!I63,"")</f>
        <v/>
      </c>
      <c r="AL163" s="379" t="str">
        <f t="shared" si="29"/>
        <v/>
      </c>
      <c r="AN163" s="379" t="str">
        <f t="shared" si="30"/>
        <v/>
      </c>
      <c r="AO163" s="250" t="str">
        <f>IF(ISNUMBER('1_Combustibles fòssils'!M63),'1_Combustibles fòssils'!M63*'1_Combustibles fòssils'!I63,IF(ISNUMBER('1_Combustibles fòssils'!J63),AN163,""))</f>
        <v/>
      </c>
      <c r="AP163" s="262">
        <f>IF(ISNUMBER('1_Combustibles fòssils'!R63),('1_Combustibles fòssils'!R63*'1_Combustibles fòssils'!S63*$AP$146)/1000,0)</f>
        <v>0</v>
      </c>
    </row>
    <row r="164" spans="1:42" x14ac:dyDescent="0.25">
      <c r="C164" s="259">
        <f>'1_Combustibles fòssils'!H64</f>
        <v>0</v>
      </c>
      <c r="D164" s="260" t="s">
        <v>75</v>
      </c>
      <c r="E164" s="248">
        <f t="shared" si="35"/>
        <v>0</v>
      </c>
      <c r="F164" s="248">
        <f t="shared" si="35"/>
        <v>0</v>
      </c>
      <c r="G164" s="248">
        <f t="shared" si="35"/>
        <v>0</v>
      </c>
      <c r="H164" s="248">
        <f t="shared" si="35"/>
        <v>0</v>
      </c>
      <c r="I164" s="248">
        <f t="shared" si="35"/>
        <v>0</v>
      </c>
      <c r="J164" s="248">
        <f t="shared" si="35"/>
        <v>0</v>
      </c>
      <c r="K164" s="248">
        <f t="shared" si="35"/>
        <v>0</v>
      </c>
      <c r="L164" s="248">
        <f t="shared" si="35"/>
        <v>0</v>
      </c>
      <c r="M164" s="248">
        <f t="shared" si="35"/>
        <v>0</v>
      </c>
      <c r="N164" s="248">
        <f t="shared" si="35"/>
        <v>0</v>
      </c>
      <c r="Q164" s="261" t="e">
        <f t="shared" si="23"/>
        <v>#N/A</v>
      </c>
      <c r="R164" s="250" t="str">
        <f>IF(ISNUMBER('1_Combustibles fòssils'!J64),'1_Combustibles fòssils'!J64*'1_Combustibles fòssils'!I64,"")</f>
        <v/>
      </c>
      <c r="S164" s="262">
        <f>IF(ISNUMBER('1_Combustibles fòssils'!R64),('1_Combustibles fòssils'!R64*'1_Combustibles fòssils'!S64)/1000,0)</f>
        <v>0</v>
      </c>
      <c r="Y164" s="268" t="s">
        <v>75</v>
      </c>
      <c r="Z164" s="268" t="s">
        <v>106</v>
      </c>
      <c r="AA164" s="374" t="s">
        <v>106</v>
      </c>
      <c r="AB164" s="375">
        <v>0</v>
      </c>
      <c r="AC164" s="375">
        <v>0</v>
      </c>
      <c r="AD164" s="375">
        <v>0</v>
      </c>
      <c r="AE164" s="375">
        <v>0</v>
      </c>
      <c r="AG164" s="379" t="e">
        <f t="shared" si="26"/>
        <v>#N/A</v>
      </c>
      <c r="AH164" s="379" t="str">
        <f>IF(ISNUMBER('1_Combustibles fòssils'!K64),'1_Combustibles fòssils'!K64*'1_Combustibles fòssils'!I64,"")</f>
        <v/>
      </c>
      <c r="AI164" s="379" t="str">
        <f t="shared" si="27"/>
        <v/>
      </c>
      <c r="AJ164" s="379" t="e">
        <f t="shared" si="28"/>
        <v>#N/A</v>
      </c>
      <c r="AK164" s="379" t="str">
        <f>IF(ISNUMBER('1_Combustibles fòssils'!L64),'1_Combustibles fòssils'!L64*'1_Combustibles fòssils'!I64,"")</f>
        <v/>
      </c>
      <c r="AL164" s="379" t="str">
        <f t="shared" si="29"/>
        <v/>
      </c>
      <c r="AN164" s="379" t="str">
        <f t="shared" si="30"/>
        <v/>
      </c>
      <c r="AO164" s="250" t="str">
        <f>IF(ISNUMBER('1_Combustibles fòssils'!M64),'1_Combustibles fòssils'!M64*'1_Combustibles fòssils'!I64,IF(ISNUMBER('1_Combustibles fòssils'!J64),AN164,""))</f>
        <v/>
      </c>
      <c r="AP164" s="262">
        <f>IF(ISNUMBER('1_Combustibles fòssils'!R64),('1_Combustibles fòssils'!R64*'1_Combustibles fòssils'!S64*$AP$146)/1000,0)</f>
        <v>0</v>
      </c>
    </row>
    <row r="165" spans="1:42" x14ac:dyDescent="0.25">
      <c r="C165" s="259">
        <f>'1_Combustibles fòssils'!H65</f>
        <v>0</v>
      </c>
      <c r="D165" s="260" t="s">
        <v>876</v>
      </c>
      <c r="E165" s="248">
        <f t="shared" si="35"/>
        <v>3.1269999999999998</v>
      </c>
      <c r="F165" s="248">
        <f t="shared" si="35"/>
        <v>3.1269999999999998</v>
      </c>
      <c r="G165" s="248">
        <f t="shared" si="35"/>
        <v>3.1269999999999998</v>
      </c>
      <c r="H165" s="248">
        <f t="shared" si="35"/>
        <v>3.1269999999999998</v>
      </c>
      <c r="I165" s="248">
        <f t="shared" si="35"/>
        <v>3.1269999999999998</v>
      </c>
      <c r="J165" s="248">
        <f t="shared" si="35"/>
        <v>3.1269999999999998</v>
      </c>
      <c r="K165" s="248">
        <f t="shared" si="35"/>
        <v>3.1269999999999998</v>
      </c>
      <c r="L165" s="248">
        <f t="shared" si="35"/>
        <v>3.1269999999999998</v>
      </c>
      <c r="M165" s="248">
        <f t="shared" si="35"/>
        <v>3.1269999999999998</v>
      </c>
      <c r="N165" s="248">
        <f t="shared" si="35"/>
        <v>3.1269999999999998</v>
      </c>
      <c r="Q165" s="261" t="e">
        <f t="shared" si="23"/>
        <v>#N/A</v>
      </c>
      <c r="R165" s="250" t="str">
        <f>IF(ISNUMBER('1_Combustibles fòssils'!J65),'1_Combustibles fòssils'!J65*'1_Combustibles fòssils'!I65,"")</f>
        <v/>
      </c>
      <c r="S165" s="262">
        <f>IF(ISNUMBER('1_Combustibles fòssils'!R65),('1_Combustibles fòssils'!R65*'1_Combustibles fòssils'!S65)/1000,0)</f>
        <v>0</v>
      </c>
      <c r="Y165" s="268" t="s">
        <v>876</v>
      </c>
      <c r="Z165" s="268" t="s">
        <v>106</v>
      </c>
      <c r="AA165" s="374">
        <f>40.4*277.78/1000</f>
        <v>11.222311999999999</v>
      </c>
      <c r="AB165" s="375">
        <f>1.4/277777.78</f>
        <v>5.0399999596799993E-6</v>
      </c>
      <c r="AC165" s="375">
        <f>0.3/277777.78</f>
        <v>1.0799999913599999E-6</v>
      </c>
      <c r="AD165" s="375">
        <f>AA165*AB165</f>
        <v>5.6560452027516364E-5</v>
      </c>
      <c r="AE165" s="375">
        <f>AA165*AC165</f>
        <v>1.2120096863039222E-5</v>
      </c>
      <c r="AG165" s="379" t="e">
        <f t="shared" si="26"/>
        <v>#N/A</v>
      </c>
      <c r="AH165" s="379" t="str">
        <f>IF(ISNUMBER('1_Combustibles fòssils'!K65),'1_Combustibles fòssils'!K65*'1_Combustibles fòssils'!I65,"")</f>
        <v/>
      </c>
      <c r="AI165" s="379" t="str">
        <f t="shared" si="27"/>
        <v/>
      </c>
      <c r="AJ165" s="379" t="e">
        <f t="shared" si="28"/>
        <v>#N/A</v>
      </c>
      <c r="AK165" s="379" t="str">
        <f>IF(ISNUMBER('1_Combustibles fòssils'!L65),'1_Combustibles fòssils'!L65*'1_Combustibles fòssils'!I65,"")</f>
        <v/>
      </c>
      <c r="AL165" s="379" t="str">
        <f t="shared" si="29"/>
        <v/>
      </c>
      <c r="AN165" s="379" t="str">
        <f t="shared" si="30"/>
        <v/>
      </c>
      <c r="AO165" s="250" t="str">
        <f>IF(ISNUMBER('1_Combustibles fòssils'!M65),'1_Combustibles fòssils'!M65*'1_Combustibles fòssils'!I65,IF(ISNUMBER('1_Combustibles fòssils'!J65),AN165,""))</f>
        <v/>
      </c>
      <c r="AP165" s="262">
        <f>IF(ISNUMBER('1_Combustibles fòssils'!R65),('1_Combustibles fòssils'!R65*'1_Combustibles fòssils'!S65*$AP$146)/1000,0)</f>
        <v>0</v>
      </c>
    </row>
    <row r="166" spans="1:42" x14ac:dyDescent="0.25">
      <c r="C166" s="259">
        <f>'1_Combustibles fòssils'!H66</f>
        <v>0</v>
      </c>
      <c r="D166" s="263" t="s">
        <v>884</v>
      </c>
      <c r="E166" s="248" t="str">
        <f t="shared" si="35"/>
        <v>-</v>
      </c>
      <c r="F166" s="248" t="str">
        <f t="shared" si="35"/>
        <v>-</v>
      </c>
      <c r="G166" s="248" t="str">
        <f t="shared" si="35"/>
        <v>-</v>
      </c>
      <c r="H166" s="248" t="str">
        <f t="shared" si="35"/>
        <v>-</v>
      </c>
      <c r="I166" s="248" t="str">
        <f t="shared" si="35"/>
        <v>-</v>
      </c>
      <c r="J166" s="248" t="str">
        <f t="shared" si="35"/>
        <v>-</v>
      </c>
      <c r="K166" s="248" t="str">
        <f t="shared" si="35"/>
        <v>-</v>
      </c>
      <c r="L166" s="248" t="str">
        <f t="shared" si="35"/>
        <v>-</v>
      </c>
      <c r="M166" s="248" t="str">
        <f t="shared" si="35"/>
        <v>-</v>
      </c>
      <c r="N166" s="248" t="str">
        <f t="shared" si="35"/>
        <v>-</v>
      </c>
      <c r="Q166" s="261" t="e">
        <f t="shared" si="23"/>
        <v>#N/A</v>
      </c>
      <c r="R166" s="250" t="str">
        <f>IF(ISNUMBER('1_Combustibles fòssils'!J66),'1_Combustibles fòssils'!J66*'1_Combustibles fòssils'!I66,"")</f>
        <v/>
      </c>
      <c r="S166" s="262">
        <f>IF(ISNUMBER('1_Combustibles fòssils'!R66),('1_Combustibles fòssils'!R66*'1_Combustibles fòssils'!S66)/1000,0)</f>
        <v>0</v>
      </c>
      <c r="Y166" s="268" t="s">
        <v>782</v>
      </c>
      <c r="Z166" s="268" t="s">
        <v>106</v>
      </c>
      <c r="AA166" s="374"/>
      <c r="AB166" s="375" t="s">
        <v>106</v>
      </c>
      <c r="AC166" s="375" t="s">
        <v>106</v>
      </c>
      <c r="AD166" s="375" t="s">
        <v>106</v>
      </c>
      <c r="AE166" s="375" t="s">
        <v>106</v>
      </c>
      <c r="AG166" s="379" t="e">
        <f t="shared" si="26"/>
        <v>#N/A</v>
      </c>
      <c r="AH166" s="379" t="str">
        <f>IF(ISNUMBER('1_Combustibles fòssils'!K66),'1_Combustibles fòssils'!K66*'1_Combustibles fòssils'!I66,"")</f>
        <v/>
      </c>
      <c r="AI166" s="379" t="str">
        <f t="shared" si="27"/>
        <v/>
      </c>
      <c r="AJ166" s="379" t="e">
        <f t="shared" si="28"/>
        <v>#N/A</v>
      </c>
      <c r="AK166" s="379" t="str">
        <f>IF(ISNUMBER('1_Combustibles fòssils'!L66),'1_Combustibles fòssils'!L66*'1_Combustibles fòssils'!I66,"")</f>
        <v/>
      </c>
      <c r="AL166" s="379" t="str">
        <f t="shared" si="29"/>
        <v/>
      </c>
      <c r="AN166" s="379" t="str">
        <f t="shared" si="30"/>
        <v/>
      </c>
      <c r="AO166" s="250" t="str">
        <f>IF(ISNUMBER('1_Combustibles fòssils'!M66),'1_Combustibles fòssils'!M66*'1_Combustibles fòssils'!I66,IF(ISNUMBER('1_Combustibles fòssils'!J66),AN166,""))</f>
        <v/>
      </c>
      <c r="AP166" s="262">
        <f>IF(ISNUMBER('1_Combustibles fòssils'!R66),('1_Combustibles fòssils'!R66*'1_Combustibles fòssils'!S66*$AP$146)/1000,0)</f>
        <v>0</v>
      </c>
    </row>
    <row r="167" spans="1:42" x14ac:dyDescent="0.25">
      <c r="C167" s="259">
        <f>'1_Combustibles fòssils'!H67</f>
        <v>0</v>
      </c>
      <c r="D167" s="219"/>
      <c r="E167" s="219"/>
      <c r="Q167" s="261" t="e">
        <f t="shared" si="23"/>
        <v>#N/A</v>
      </c>
      <c r="R167" s="250" t="str">
        <f>IF(ISNUMBER('1_Combustibles fòssils'!J67),'1_Combustibles fòssils'!J67*'1_Combustibles fòssils'!I67,"")</f>
        <v/>
      </c>
      <c r="S167" s="262">
        <f>IF(ISNUMBER('1_Combustibles fòssils'!R67),('1_Combustibles fòssils'!R67*'1_Combustibles fòssils'!S67)/1000,0)</f>
        <v>0</v>
      </c>
      <c r="AG167" s="379" t="e">
        <f t="shared" si="26"/>
        <v>#N/A</v>
      </c>
      <c r="AH167" s="379" t="str">
        <f>IF(ISNUMBER('1_Combustibles fòssils'!K67),'1_Combustibles fòssils'!K67*'1_Combustibles fòssils'!I67,"")</f>
        <v/>
      </c>
      <c r="AI167" s="379" t="str">
        <f t="shared" si="27"/>
        <v/>
      </c>
      <c r="AJ167" s="379" t="e">
        <f t="shared" si="28"/>
        <v>#N/A</v>
      </c>
      <c r="AK167" s="379" t="str">
        <f>IF(ISNUMBER('1_Combustibles fòssils'!L67),'1_Combustibles fòssils'!L67*'1_Combustibles fòssils'!I67,"")</f>
        <v/>
      </c>
      <c r="AL167" s="379" t="str">
        <f t="shared" si="29"/>
        <v/>
      </c>
      <c r="AN167" s="379" t="str">
        <f>IF(ISNUMBER(Q167),R167+AI167+AL167,"")</f>
        <v/>
      </c>
      <c r="AO167" s="250" t="str">
        <f>IF(ISNUMBER('1_Combustibles fòssils'!M67),'1_Combustibles fòssils'!M67*'1_Combustibles fòssils'!I67,IF(ISNUMBER('1_Combustibles fòssils'!J67),AN167,""))</f>
        <v/>
      </c>
      <c r="AP167" s="262">
        <f>IF(ISNUMBER('1_Combustibles fòssils'!R67),('1_Combustibles fòssils'!R67*'1_Combustibles fòssils'!S67*$AP$146)/1000,0)</f>
        <v>0</v>
      </c>
    </row>
    <row r="168" spans="1:42" x14ac:dyDescent="0.25">
      <c r="R168" s="264"/>
      <c r="S168" s="264"/>
      <c r="AG168" s="380"/>
      <c r="AH168" s="380"/>
      <c r="AI168" s="380"/>
      <c r="AJ168" s="380"/>
      <c r="AK168" s="380"/>
      <c r="AL168" s="380"/>
      <c r="AN168" s="264"/>
      <c r="AO168" s="264">
        <f>'1_Combustibles fòssils'!O68</f>
        <v>0</v>
      </c>
      <c r="AP168" s="264">
        <f>'1_Combustibles fòssils'!U68</f>
        <v>0</v>
      </c>
    </row>
    <row r="169" spans="1:42" x14ac:dyDescent="0.25">
      <c r="A169" s="213" t="s">
        <v>147</v>
      </c>
      <c r="AG169" s="380"/>
      <c r="AH169" s="380"/>
      <c r="AI169" s="380"/>
      <c r="AJ169" s="380"/>
      <c r="AK169" s="380"/>
      <c r="AL169" s="380"/>
    </row>
    <row r="170" spans="1:42" ht="37.5" customHeight="1" x14ac:dyDescent="0.25">
      <c r="C170" s="240" t="s">
        <v>148</v>
      </c>
      <c r="D170" s="265" t="s">
        <v>149</v>
      </c>
      <c r="E170" s="265" t="s">
        <v>150</v>
      </c>
      <c r="F170" s="257" t="s">
        <v>149</v>
      </c>
      <c r="G170" s="265" t="s">
        <v>27</v>
      </c>
      <c r="H170" s="244" t="s">
        <v>139</v>
      </c>
      <c r="I170" s="244" t="s">
        <v>151</v>
      </c>
      <c r="K170" s="257" t="s">
        <v>139</v>
      </c>
      <c r="L170" s="257" t="s">
        <v>139</v>
      </c>
      <c r="M170" s="257" t="s">
        <v>139</v>
      </c>
      <c r="O170" s="382" t="s">
        <v>152</v>
      </c>
    </row>
    <row r="171" spans="1:42" x14ac:dyDescent="0.25">
      <c r="C171" s="259">
        <f>'2_Fluorats'!G12</f>
        <v>0</v>
      </c>
      <c r="D171" s="260" t="s">
        <v>153</v>
      </c>
      <c r="E171" s="260" t="s">
        <v>154</v>
      </c>
      <c r="F171" s="260" t="str">
        <f t="shared" ref="F171:F214" si="40">D171</f>
        <v>CH2F3</v>
      </c>
      <c r="G171" s="266">
        <v>14800</v>
      </c>
      <c r="H171" s="267" t="e">
        <f>VLOOKUP(Dades!C171,Dades!$E$171:$G$215,2,0)</f>
        <v>#N/A</v>
      </c>
      <c r="I171" s="267" t="e">
        <f>VLOOKUP(Dades!C171,Dades!$E$171:$G$215,3,0)</f>
        <v>#N/A</v>
      </c>
      <c r="K171" s="260" t="e">
        <f>VLOOKUP(Dades!C171,Dades!$E$171:$F$215,2,0)</f>
        <v>#N/A</v>
      </c>
      <c r="L171" s="260" t="b">
        <f t="shared" ref="L171:L192" si="41">ISNONTEXT(K171)</f>
        <v>1</v>
      </c>
      <c r="M171" s="268" t="str">
        <f t="shared" ref="M171:M192" si="42">IF(L171=0,K171,"")</f>
        <v/>
      </c>
      <c r="O171" s="251">
        <f>'2_Fluorats'!Q16</f>
        <v>0</v>
      </c>
    </row>
    <row r="172" spans="1:42" x14ac:dyDescent="0.25">
      <c r="C172" s="259">
        <f>'2_Fluorats'!G13</f>
        <v>0</v>
      </c>
      <c r="D172" s="260" t="s">
        <v>155</v>
      </c>
      <c r="E172" s="260" t="s">
        <v>156</v>
      </c>
      <c r="F172" s="260" t="str">
        <f t="shared" si="40"/>
        <v>CH2F2</v>
      </c>
      <c r="G172" s="266">
        <v>675</v>
      </c>
      <c r="H172" s="267" t="e">
        <f t="shared" ref="H172:H192" si="43">VLOOKUP(C172,$E$171:$G$215,2,0)</f>
        <v>#N/A</v>
      </c>
      <c r="I172" s="267" t="e">
        <f t="shared" ref="I172:I192" si="44">VLOOKUP(C172,$E$171:$G$215,3,0)</f>
        <v>#N/A</v>
      </c>
      <c r="K172" s="260" t="e">
        <f t="shared" ref="K172:K192" si="45">VLOOKUP(C172,$E$171:$F$215,2,0)</f>
        <v>#N/A</v>
      </c>
      <c r="L172" s="260" t="b">
        <f t="shared" si="41"/>
        <v>1</v>
      </c>
      <c r="M172" s="268" t="str">
        <f t="shared" si="42"/>
        <v/>
      </c>
    </row>
    <row r="173" spans="1:42" x14ac:dyDescent="0.25">
      <c r="C173" s="259">
        <f>'2_Fluorats'!G14</f>
        <v>0</v>
      </c>
      <c r="D173" s="260" t="s">
        <v>157</v>
      </c>
      <c r="E173" s="260" t="s">
        <v>158</v>
      </c>
      <c r="F173" s="260" t="str">
        <f t="shared" si="40"/>
        <v>CH3F</v>
      </c>
      <c r="G173" s="266">
        <v>92</v>
      </c>
      <c r="H173" s="267" t="e">
        <f t="shared" si="43"/>
        <v>#N/A</v>
      </c>
      <c r="I173" s="267" t="e">
        <f t="shared" si="44"/>
        <v>#N/A</v>
      </c>
      <c r="K173" s="260" t="e">
        <f t="shared" si="45"/>
        <v>#N/A</v>
      </c>
      <c r="L173" s="260" t="b">
        <f t="shared" si="41"/>
        <v>1</v>
      </c>
      <c r="M173" s="268" t="str">
        <f t="shared" si="42"/>
        <v/>
      </c>
    </row>
    <row r="174" spans="1:42" x14ac:dyDescent="0.25">
      <c r="C174" s="259">
        <f>'2_Fluorats'!G15</f>
        <v>0</v>
      </c>
      <c r="D174" s="260" t="s">
        <v>159</v>
      </c>
      <c r="E174" s="260" t="s">
        <v>28</v>
      </c>
      <c r="F174" s="260" t="str">
        <f t="shared" si="40"/>
        <v>C2HF5</v>
      </c>
      <c r="G174" s="266">
        <v>3500</v>
      </c>
      <c r="H174" s="267" t="e">
        <f t="shared" si="43"/>
        <v>#N/A</v>
      </c>
      <c r="I174" s="267" t="e">
        <f t="shared" si="44"/>
        <v>#N/A</v>
      </c>
      <c r="K174" s="260" t="e">
        <f t="shared" si="45"/>
        <v>#N/A</v>
      </c>
      <c r="L174" s="260" t="b">
        <f t="shared" si="41"/>
        <v>1</v>
      </c>
      <c r="M174" s="268" t="str">
        <f t="shared" si="42"/>
        <v/>
      </c>
    </row>
    <row r="175" spans="1:42" x14ac:dyDescent="0.25">
      <c r="C175" s="259">
        <f>'2_Fluorats'!G16</f>
        <v>0</v>
      </c>
      <c r="D175" s="260" t="s">
        <v>160</v>
      </c>
      <c r="E175" s="260" t="s">
        <v>161</v>
      </c>
      <c r="F175" s="260" t="str">
        <f t="shared" si="40"/>
        <v>C2H2F4</v>
      </c>
      <c r="G175" s="266">
        <v>1100</v>
      </c>
      <c r="H175" s="267" t="e">
        <f t="shared" si="43"/>
        <v>#N/A</v>
      </c>
      <c r="I175" s="267" t="e">
        <f t="shared" si="44"/>
        <v>#N/A</v>
      </c>
      <c r="K175" s="260" t="e">
        <f t="shared" si="45"/>
        <v>#N/A</v>
      </c>
      <c r="L175" s="260" t="b">
        <f t="shared" si="41"/>
        <v>1</v>
      </c>
      <c r="M175" s="268" t="str">
        <f t="shared" si="42"/>
        <v/>
      </c>
    </row>
    <row r="176" spans="1:42" x14ac:dyDescent="0.25">
      <c r="C176" s="259">
        <f>'2_Fluorats'!G17</f>
        <v>0</v>
      </c>
      <c r="D176" s="260" t="s">
        <v>162</v>
      </c>
      <c r="E176" s="260" t="s">
        <v>29</v>
      </c>
      <c r="F176" s="260" t="str">
        <f t="shared" si="40"/>
        <v>CH2FCF3</v>
      </c>
      <c r="G176" s="266">
        <v>1430</v>
      </c>
      <c r="H176" s="267" t="e">
        <f t="shared" si="43"/>
        <v>#N/A</v>
      </c>
      <c r="I176" s="267" t="e">
        <f t="shared" si="44"/>
        <v>#N/A</v>
      </c>
      <c r="K176" s="260" t="e">
        <f t="shared" si="45"/>
        <v>#N/A</v>
      </c>
      <c r="L176" s="260" t="b">
        <f t="shared" si="41"/>
        <v>1</v>
      </c>
      <c r="M176" s="268" t="str">
        <f t="shared" si="42"/>
        <v/>
      </c>
    </row>
    <row r="177" spans="3:13" x14ac:dyDescent="0.25">
      <c r="C177" s="259">
        <f>'2_Fluorats'!G18</f>
        <v>0</v>
      </c>
      <c r="D177" s="260" t="s">
        <v>163</v>
      </c>
      <c r="E177" s="260" t="s">
        <v>164</v>
      </c>
      <c r="F177" s="260" t="str">
        <f t="shared" si="40"/>
        <v>C2H3F3.</v>
      </c>
      <c r="G177" s="266">
        <v>353</v>
      </c>
      <c r="H177" s="267" t="e">
        <f t="shared" si="43"/>
        <v>#N/A</v>
      </c>
      <c r="I177" s="267" t="e">
        <f t="shared" si="44"/>
        <v>#N/A</v>
      </c>
      <c r="K177" s="260" t="e">
        <f t="shared" si="45"/>
        <v>#N/A</v>
      </c>
      <c r="L177" s="260" t="b">
        <f t="shared" si="41"/>
        <v>1</v>
      </c>
      <c r="M177" s="268" t="str">
        <f t="shared" si="42"/>
        <v/>
      </c>
    </row>
    <row r="178" spans="3:13" x14ac:dyDescent="0.25">
      <c r="C178" s="259">
        <f>'2_Fluorats'!G19</f>
        <v>0</v>
      </c>
      <c r="D178" s="260" t="s">
        <v>165</v>
      </c>
      <c r="E178" s="260" t="s">
        <v>166</v>
      </c>
      <c r="F178" s="260" t="str">
        <f t="shared" si="40"/>
        <v>C2H3F3</v>
      </c>
      <c r="G178" s="266">
        <v>4470</v>
      </c>
      <c r="H178" s="267" t="e">
        <f t="shared" si="43"/>
        <v>#N/A</v>
      </c>
      <c r="I178" s="267" t="e">
        <f t="shared" si="44"/>
        <v>#N/A</v>
      </c>
      <c r="K178" s="260" t="e">
        <f t="shared" si="45"/>
        <v>#N/A</v>
      </c>
      <c r="L178" s="260" t="b">
        <f t="shared" si="41"/>
        <v>1</v>
      </c>
      <c r="M178" s="268" t="str">
        <f t="shared" si="42"/>
        <v/>
      </c>
    </row>
    <row r="179" spans="3:13" x14ac:dyDescent="0.25">
      <c r="C179" s="259">
        <f>'2_Fluorats'!G20</f>
        <v>0</v>
      </c>
      <c r="D179" s="260" t="s">
        <v>167</v>
      </c>
      <c r="E179" s="260" t="s">
        <v>168</v>
      </c>
      <c r="F179" s="260" t="str">
        <f t="shared" si="40"/>
        <v>CH2FCH2F</v>
      </c>
      <c r="G179" s="266">
        <v>53</v>
      </c>
      <c r="H179" s="267" t="e">
        <f t="shared" si="43"/>
        <v>#N/A</v>
      </c>
      <c r="I179" s="267" t="e">
        <f t="shared" si="44"/>
        <v>#N/A</v>
      </c>
      <c r="K179" s="260" t="e">
        <f t="shared" si="45"/>
        <v>#N/A</v>
      </c>
      <c r="L179" s="260" t="b">
        <f t="shared" si="41"/>
        <v>1</v>
      </c>
      <c r="M179" s="268" t="str">
        <f t="shared" si="42"/>
        <v/>
      </c>
    </row>
    <row r="180" spans="3:13" x14ac:dyDescent="0.25">
      <c r="C180" s="259">
        <f>'2_Fluorats'!G21</f>
        <v>0</v>
      </c>
      <c r="D180" s="260" t="s">
        <v>169</v>
      </c>
      <c r="E180" s="260" t="s">
        <v>170</v>
      </c>
      <c r="F180" s="260" t="str">
        <f t="shared" si="40"/>
        <v>C2H4F2</v>
      </c>
      <c r="G180" s="266">
        <v>124</v>
      </c>
      <c r="H180" s="267" t="e">
        <f t="shared" si="43"/>
        <v>#N/A</v>
      </c>
      <c r="I180" s="267" t="e">
        <f t="shared" si="44"/>
        <v>#N/A</v>
      </c>
      <c r="K180" s="260" t="e">
        <f t="shared" si="45"/>
        <v>#N/A</v>
      </c>
      <c r="L180" s="260" t="b">
        <f t="shared" si="41"/>
        <v>1</v>
      </c>
      <c r="M180" s="268" t="str">
        <f t="shared" si="42"/>
        <v/>
      </c>
    </row>
    <row r="181" spans="3:13" x14ac:dyDescent="0.25">
      <c r="C181" s="259">
        <f>'2_Fluorats'!G22</f>
        <v>0</v>
      </c>
      <c r="D181" s="260" t="s">
        <v>171</v>
      </c>
      <c r="E181" s="260" t="s">
        <v>172</v>
      </c>
      <c r="F181" s="260" t="str">
        <f t="shared" si="40"/>
        <v>C2H2F</v>
      </c>
      <c r="G181" s="266">
        <v>12</v>
      </c>
      <c r="H181" s="267" t="e">
        <f t="shared" si="43"/>
        <v>#N/A</v>
      </c>
      <c r="I181" s="267" t="e">
        <f t="shared" si="44"/>
        <v>#N/A</v>
      </c>
      <c r="K181" s="260" t="e">
        <f t="shared" si="45"/>
        <v>#N/A</v>
      </c>
      <c r="L181" s="260" t="b">
        <f t="shared" si="41"/>
        <v>1</v>
      </c>
      <c r="M181" s="268" t="str">
        <f t="shared" si="42"/>
        <v/>
      </c>
    </row>
    <row r="182" spans="3:13" x14ac:dyDescent="0.25">
      <c r="C182" s="259">
        <f>'2_Fluorats'!G23</f>
        <v>0</v>
      </c>
      <c r="D182" s="260" t="s">
        <v>173</v>
      </c>
      <c r="E182" s="260" t="s">
        <v>174</v>
      </c>
      <c r="F182" s="260" t="str">
        <f t="shared" si="40"/>
        <v>C3HF7</v>
      </c>
      <c r="G182" s="266">
        <v>3220</v>
      </c>
      <c r="H182" s="267" t="e">
        <f t="shared" si="43"/>
        <v>#N/A</v>
      </c>
      <c r="I182" s="267" t="e">
        <f t="shared" si="44"/>
        <v>#N/A</v>
      </c>
      <c r="K182" s="260" t="e">
        <f t="shared" si="45"/>
        <v>#N/A</v>
      </c>
      <c r="L182" s="260" t="b">
        <f t="shared" si="41"/>
        <v>1</v>
      </c>
      <c r="M182" s="268" t="str">
        <f t="shared" si="42"/>
        <v/>
      </c>
    </row>
    <row r="183" spans="3:13" x14ac:dyDescent="0.25">
      <c r="C183" s="259">
        <f>'2_Fluorats'!G24</f>
        <v>0</v>
      </c>
      <c r="D183" s="260" t="s">
        <v>175</v>
      </c>
      <c r="E183" s="260" t="s">
        <v>176</v>
      </c>
      <c r="F183" s="260" t="str">
        <f t="shared" si="40"/>
        <v>CH2FCF2CF3</v>
      </c>
      <c r="G183" s="266">
        <v>1340</v>
      </c>
      <c r="H183" s="267" t="e">
        <f t="shared" si="43"/>
        <v>#N/A</v>
      </c>
      <c r="I183" s="267" t="e">
        <f t="shared" si="44"/>
        <v>#N/A</v>
      </c>
      <c r="K183" s="260" t="e">
        <f t="shared" si="45"/>
        <v>#N/A</v>
      </c>
      <c r="L183" s="260" t="b">
        <f t="shared" si="41"/>
        <v>1</v>
      </c>
      <c r="M183" s="268" t="str">
        <f t="shared" si="42"/>
        <v/>
      </c>
    </row>
    <row r="184" spans="3:13" x14ac:dyDescent="0.25">
      <c r="C184" s="259">
        <f>'2_Fluorats'!G25</f>
        <v>0</v>
      </c>
      <c r="D184" s="260" t="s">
        <v>177</v>
      </c>
      <c r="E184" s="260" t="s">
        <v>178</v>
      </c>
      <c r="F184" s="260" t="str">
        <f t="shared" si="40"/>
        <v>CHF2CHFCF3</v>
      </c>
      <c r="G184" s="266">
        <v>1370</v>
      </c>
      <c r="H184" s="267" t="e">
        <f t="shared" si="43"/>
        <v>#N/A</v>
      </c>
      <c r="I184" s="267" t="e">
        <f t="shared" si="44"/>
        <v>#N/A</v>
      </c>
      <c r="K184" s="260" t="e">
        <f t="shared" si="45"/>
        <v>#N/A</v>
      </c>
      <c r="L184" s="260" t="b">
        <f t="shared" si="41"/>
        <v>1</v>
      </c>
      <c r="M184" s="268" t="str">
        <f t="shared" si="42"/>
        <v/>
      </c>
    </row>
    <row r="185" spans="3:13" x14ac:dyDescent="0.25">
      <c r="C185" s="259">
        <f>'2_Fluorats'!G26</f>
        <v>0</v>
      </c>
      <c r="D185" s="260" t="s">
        <v>179</v>
      </c>
      <c r="E185" s="260" t="s">
        <v>180</v>
      </c>
      <c r="F185" s="260" t="str">
        <f t="shared" si="40"/>
        <v>C3H2F6</v>
      </c>
      <c r="G185" s="266">
        <v>9810</v>
      </c>
      <c r="H185" s="267" t="e">
        <f t="shared" si="43"/>
        <v>#N/A</v>
      </c>
      <c r="I185" s="267" t="e">
        <f t="shared" si="44"/>
        <v>#N/A</v>
      </c>
      <c r="K185" s="260" t="e">
        <f t="shared" si="45"/>
        <v>#N/A</v>
      </c>
      <c r="L185" s="260" t="b">
        <f t="shared" si="41"/>
        <v>1</v>
      </c>
      <c r="M185" s="268" t="str">
        <f t="shared" si="42"/>
        <v/>
      </c>
    </row>
    <row r="186" spans="3:13" x14ac:dyDescent="0.25">
      <c r="C186" s="259">
        <f>'2_Fluorats'!G27</f>
        <v>0</v>
      </c>
      <c r="D186" s="260" t="s">
        <v>181</v>
      </c>
      <c r="E186" s="260" t="s">
        <v>182</v>
      </c>
      <c r="F186" s="260" t="str">
        <f t="shared" si="40"/>
        <v>C3H3F5</v>
      </c>
      <c r="G186" s="266">
        <v>693</v>
      </c>
      <c r="H186" s="267" t="e">
        <f t="shared" si="43"/>
        <v>#N/A</v>
      </c>
      <c r="I186" s="267" t="e">
        <f t="shared" si="44"/>
        <v>#N/A</v>
      </c>
      <c r="K186" s="260" t="e">
        <f t="shared" si="45"/>
        <v>#N/A</v>
      </c>
      <c r="L186" s="260" t="b">
        <f t="shared" si="41"/>
        <v>1</v>
      </c>
      <c r="M186" s="268" t="str">
        <f t="shared" si="42"/>
        <v/>
      </c>
    </row>
    <row r="187" spans="3:13" x14ac:dyDescent="0.25">
      <c r="C187" s="259">
        <f>'2_Fluorats'!G28</f>
        <v>0</v>
      </c>
      <c r="D187" s="260" t="s">
        <v>181</v>
      </c>
      <c r="E187" s="260" t="s">
        <v>183</v>
      </c>
      <c r="F187" s="260" t="str">
        <f t="shared" si="40"/>
        <v>C3H3F5</v>
      </c>
      <c r="G187" s="266">
        <v>1030</v>
      </c>
      <c r="H187" s="267" t="e">
        <f t="shared" si="43"/>
        <v>#N/A</v>
      </c>
      <c r="I187" s="267" t="e">
        <f t="shared" si="44"/>
        <v>#N/A</v>
      </c>
      <c r="K187" s="260" t="e">
        <f t="shared" si="45"/>
        <v>#N/A</v>
      </c>
      <c r="L187" s="260" t="b">
        <f t="shared" si="41"/>
        <v>1</v>
      </c>
      <c r="M187" s="268" t="str">
        <f t="shared" si="42"/>
        <v/>
      </c>
    </row>
    <row r="188" spans="3:13" x14ac:dyDescent="0.25">
      <c r="C188" s="259">
        <f>'2_Fluorats'!G29</f>
        <v>0</v>
      </c>
      <c r="D188" s="260" t="s">
        <v>184</v>
      </c>
      <c r="E188" s="260" t="s">
        <v>185</v>
      </c>
      <c r="F188" s="260" t="str">
        <f t="shared" si="40"/>
        <v>C4H5F5</v>
      </c>
      <c r="G188" s="266">
        <v>794</v>
      </c>
      <c r="H188" s="267" t="e">
        <f t="shared" si="43"/>
        <v>#N/A</v>
      </c>
      <c r="I188" s="267" t="e">
        <f t="shared" si="44"/>
        <v>#N/A</v>
      </c>
      <c r="K188" s="260" t="e">
        <f t="shared" si="45"/>
        <v>#N/A</v>
      </c>
      <c r="L188" s="260" t="b">
        <f t="shared" si="41"/>
        <v>1</v>
      </c>
      <c r="M188" s="268" t="str">
        <f t="shared" si="42"/>
        <v/>
      </c>
    </row>
    <row r="189" spans="3:13" x14ac:dyDescent="0.25">
      <c r="C189" s="259">
        <f>'2_Fluorats'!G30</f>
        <v>0</v>
      </c>
      <c r="D189" s="260" t="s">
        <v>186</v>
      </c>
      <c r="E189" s="260" t="s">
        <v>187</v>
      </c>
      <c r="F189" s="260" t="str">
        <f t="shared" si="40"/>
        <v>C5H2F10</v>
      </c>
      <c r="G189" s="266">
        <v>1640</v>
      </c>
      <c r="H189" s="267" t="e">
        <f t="shared" si="43"/>
        <v>#N/A</v>
      </c>
      <c r="I189" s="267" t="e">
        <f t="shared" si="44"/>
        <v>#N/A</v>
      </c>
      <c r="K189" s="260" t="e">
        <f t="shared" si="45"/>
        <v>#N/A</v>
      </c>
      <c r="L189" s="260" t="b">
        <f t="shared" si="41"/>
        <v>1</v>
      </c>
      <c r="M189" s="268" t="str">
        <f t="shared" si="42"/>
        <v/>
      </c>
    </row>
    <row r="190" spans="3:13" x14ac:dyDescent="0.25">
      <c r="C190" s="259">
        <f>'2_Fluorats'!G31</f>
        <v>0</v>
      </c>
      <c r="D190" s="269" t="s">
        <v>188</v>
      </c>
      <c r="E190" s="269" t="s">
        <v>188</v>
      </c>
      <c r="F190" s="269" t="str">
        <f t="shared" si="40"/>
        <v>SF6</v>
      </c>
      <c r="G190" s="270">
        <v>22800</v>
      </c>
      <c r="H190" s="267" t="e">
        <f t="shared" si="43"/>
        <v>#N/A</v>
      </c>
      <c r="I190" s="267" t="e">
        <f t="shared" si="44"/>
        <v>#N/A</v>
      </c>
      <c r="K190" s="260" t="e">
        <f t="shared" si="45"/>
        <v>#N/A</v>
      </c>
      <c r="L190" s="260" t="b">
        <f t="shared" si="41"/>
        <v>1</v>
      </c>
      <c r="M190" s="268" t="str">
        <f t="shared" si="42"/>
        <v/>
      </c>
    </row>
    <row r="191" spans="3:13" x14ac:dyDescent="0.25">
      <c r="C191" s="259">
        <f>'2_Fluorats'!G32</f>
        <v>0</v>
      </c>
      <c r="D191" s="260" t="s">
        <v>189</v>
      </c>
      <c r="E191" s="260" t="s">
        <v>190</v>
      </c>
      <c r="F191" s="260" t="str">
        <f t="shared" si="40"/>
        <v>R-125/143a/134a (44/52/4)</v>
      </c>
      <c r="G191" s="266">
        <v>3922</v>
      </c>
      <c r="H191" s="267" t="e">
        <f t="shared" si="43"/>
        <v>#N/A</v>
      </c>
      <c r="I191" s="267" t="e">
        <f t="shared" si="44"/>
        <v>#N/A</v>
      </c>
      <c r="K191" s="260" t="e">
        <f t="shared" si="45"/>
        <v>#N/A</v>
      </c>
      <c r="L191" s="260" t="b">
        <f t="shared" si="41"/>
        <v>1</v>
      </c>
      <c r="M191" s="268" t="str">
        <f t="shared" si="42"/>
        <v/>
      </c>
    </row>
    <row r="192" spans="3:13" x14ac:dyDescent="0.25">
      <c r="C192" s="259">
        <f>'2_Fluorats'!G33</f>
        <v>0</v>
      </c>
      <c r="D192" s="260" t="s">
        <v>191</v>
      </c>
      <c r="E192" s="260" t="s">
        <v>192</v>
      </c>
      <c r="F192" s="260" t="str">
        <f t="shared" si="40"/>
        <v>R-32/125/134a (20/40/40)</v>
      </c>
      <c r="G192" s="266">
        <v>2107</v>
      </c>
      <c r="H192" s="267" t="e">
        <f t="shared" si="43"/>
        <v>#N/A</v>
      </c>
      <c r="I192" s="267" t="e">
        <f t="shared" si="44"/>
        <v>#N/A</v>
      </c>
      <c r="K192" s="260" t="e">
        <f t="shared" si="45"/>
        <v>#N/A</v>
      </c>
      <c r="L192" s="260" t="b">
        <f t="shared" si="41"/>
        <v>1</v>
      </c>
      <c r="M192" s="268" t="str">
        <f t="shared" si="42"/>
        <v/>
      </c>
    </row>
    <row r="193" spans="4:7" x14ac:dyDescent="0.25">
      <c r="D193" s="260" t="s">
        <v>193</v>
      </c>
      <c r="E193" s="260" t="s">
        <v>194</v>
      </c>
      <c r="F193" s="260" t="str">
        <f t="shared" si="40"/>
        <v xml:space="preserve">R-32/125/134a (10/70/20)  </v>
      </c>
      <c r="G193" s="266">
        <v>2804</v>
      </c>
    </row>
    <row r="194" spans="4:7" x14ac:dyDescent="0.25">
      <c r="D194" s="260" t="s">
        <v>195</v>
      </c>
      <c r="E194" s="260" t="s">
        <v>196</v>
      </c>
      <c r="F194" s="260" t="str">
        <f t="shared" si="40"/>
        <v>R-32/125/134a (23/25/52)</v>
      </c>
      <c r="G194" s="266">
        <v>1774</v>
      </c>
    </row>
    <row r="195" spans="4:7" x14ac:dyDescent="0.25">
      <c r="D195" s="260" t="s">
        <v>197</v>
      </c>
      <c r="E195" s="260" t="s">
        <v>198</v>
      </c>
      <c r="F195" s="260" t="str">
        <f t="shared" si="40"/>
        <v>R-32/125/134a (30/30/40)</v>
      </c>
      <c r="G195" s="266">
        <v>1825</v>
      </c>
    </row>
    <row r="196" spans="4:7" x14ac:dyDescent="0.25">
      <c r="D196" s="260" t="s">
        <v>199</v>
      </c>
      <c r="E196" s="260" t="s">
        <v>200</v>
      </c>
      <c r="F196" s="260" t="str">
        <f t="shared" si="40"/>
        <v xml:space="preserve">R-32/125 (50/50) </v>
      </c>
      <c r="G196" s="266">
        <v>2088</v>
      </c>
    </row>
    <row r="197" spans="4:7" x14ac:dyDescent="0.25">
      <c r="D197" s="260" t="s">
        <v>201</v>
      </c>
      <c r="E197" s="260" t="s">
        <v>202</v>
      </c>
      <c r="F197" s="260" t="str">
        <f t="shared" si="40"/>
        <v xml:space="preserve">R-32/125 (45/55) </v>
      </c>
      <c r="G197" s="266">
        <v>2229</v>
      </c>
    </row>
    <row r="198" spans="4:7" x14ac:dyDescent="0.25">
      <c r="D198" s="260" t="s">
        <v>203</v>
      </c>
      <c r="E198" s="260" t="s">
        <v>204</v>
      </c>
      <c r="F198" s="260" t="str">
        <f t="shared" si="40"/>
        <v>R-218/134a/600a (9/88/3)</v>
      </c>
      <c r="G198" s="266">
        <v>2053</v>
      </c>
    </row>
    <row r="199" spans="4:7" x14ac:dyDescent="0.25">
      <c r="D199" s="260" t="s">
        <v>205</v>
      </c>
      <c r="E199" s="260" t="s">
        <v>206</v>
      </c>
      <c r="F199" s="260" t="str">
        <f t="shared" si="40"/>
        <v>R-125/134a/600 (46,6/50/3,4)</v>
      </c>
      <c r="G199" s="266">
        <v>2346</v>
      </c>
    </row>
    <row r="200" spans="4:7" x14ac:dyDescent="0.25">
      <c r="D200" s="260" t="s">
        <v>207</v>
      </c>
      <c r="E200" s="260" t="s">
        <v>208</v>
      </c>
      <c r="F200" s="260" t="str">
        <f t="shared" si="40"/>
        <v>R-125/134a/600 (79/18,25/2,75)</v>
      </c>
      <c r="G200" s="266">
        <v>3026</v>
      </c>
    </row>
    <row r="201" spans="4:7" x14ac:dyDescent="0.25">
      <c r="D201" s="260" t="s">
        <v>209</v>
      </c>
      <c r="E201" s="260" t="s">
        <v>210</v>
      </c>
      <c r="F201" s="260" t="str">
        <f t="shared" si="40"/>
        <v>R-125/134a/600a (85,1/11,5/3,4)</v>
      </c>
      <c r="G201" s="266">
        <v>3143</v>
      </c>
    </row>
    <row r="202" spans="4:7" x14ac:dyDescent="0.25">
      <c r="D202" s="260" t="s">
        <v>211</v>
      </c>
      <c r="E202" s="260" t="s">
        <v>212</v>
      </c>
      <c r="F202" s="260" t="str">
        <f t="shared" si="40"/>
        <v>R-125/134a/600a (65,1/31,5/3,4)</v>
      </c>
      <c r="G202" s="266">
        <v>2729</v>
      </c>
    </row>
    <row r="203" spans="4:7" x14ac:dyDescent="0.25">
      <c r="D203" s="260" t="s">
        <v>213</v>
      </c>
      <c r="E203" s="260" t="s">
        <v>214</v>
      </c>
      <c r="F203" s="260" t="str">
        <f t="shared" si="40"/>
        <v>R-125/134a/600a/600/601a (50,5/47/0,9/1/0)</v>
      </c>
      <c r="G203" s="266">
        <v>2440</v>
      </c>
    </row>
    <row r="204" spans="4:7" x14ac:dyDescent="0.25">
      <c r="D204" s="260" t="s">
        <v>215</v>
      </c>
      <c r="E204" s="260" t="s">
        <v>216</v>
      </c>
      <c r="F204" s="260" t="str">
        <f t="shared" si="40"/>
        <v>R-134a/125/600/601a (93/5,1/1,3/0,6)</v>
      </c>
      <c r="G204" s="266">
        <v>1508</v>
      </c>
    </row>
    <row r="205" spans="4:7" x14ac:dyDescent="0.25">
      <c r="D205" s="260" t="s">
        <v>217</v>
      </c>
      <c r="E205" s="260" t="s">
        <v>218</v>
      </c>
      <c r="F205" s="260" t="str">
        <f t="shared" si="40"/>
        <v>R-32/125/143a/134a (15/25/10/50)</v>
      </c>
      <c r="G205" s="266">
        <v>2138</v>
      </c>
    </row>
    <row r="206" spans="4:7" x14ac:dyDescent="0.25">
      <c r="D206" s="260" t="s">
        <v>219</v>
      </c>
      <c r="E206" s="260" t="s">
        <v>220</v>
      </c>
      <c r="F206" s="260" t="str">
        <f t="shared" si="40"/>
        <v xml:space="preserve">R-125/143a/600a/290 (77,5/20/1,9/06)              </v>
      </c>
      <c r="G206" s="266">
        <v>3607</v>
      </c>
    </row>
    <row r="207" spans="4:7" x14ac:dyDescent="0.25">
      <c r="D207" s="260" t="s">
        <v>221</v>
      </c>
      <c r="E207" s="260" t="s">
        <v>222</v>
      </c>
      <c r="F207" s="260" t="str">
        <f t="shared" si="40"/>
        <v>R-125/143a/134a/600a (63,2/18/16/2,8)</v>
      </c>
      <c r="G207" s="266">
        <v>3245</v>
      </c>
    </row>
    <row r="208" spans="4:7" x14ac:dyDescent="0.25">
      <c r="D208" s="260" t="s">
        <v>223</v>
      </c>
      <c r="E208" s="260" t="s">
        <v>224</v>
      </c>
      <c r="F208" s="260" t="str">
        <f t="shared" si="40"/>
        <v>R-125/134a/600/601 (19,5/78,5/1,4/06)</v>
      </c>
      <c r="G208" s="266">
        <v>1805</v>
      </c>
    </row>
    <row r="209" spans="1:34" x14ac:dyDescent="0.25">
      <c r="D209" s="260" t="s">
        <v>225</v>
      </c>
      <c r="E209" s="260" t="s">
        <v>226</v>
      </c>
      <c r="F209" s="260" t="str">
        <f t="shared" si="40"/>
        <v>R-32/125/134a/600/601a (8,5/45/44,2/1,7/0,6)</v>
      </c>
      <c r="G209" s="266">
        <v>2264</v>
      </c>
    </row>
    <row r="210" spans="1:34" x14ac:dyDescent="0.25">
      <c r="D210" s="260" t="s">
        <v>227</v>
      </c>
      <c r="E210" s="260" t="s">
        <v>228</v>
      </c>
      <c r="F210" s="260" t="str">
        <f t="shared" si="40"/>
        <v>R-32/125/134a/152a/227ea (31/31/30/3/5)</v>
      </c>
      <c r="G210" s="266">
        <v>1888</v>
      </c>
    </row>
    <row r="211" spans="1:34" x14ac:dyDescent="0.25">
      <c r="D211" s="260" t="s">
        <v>229</v>
      </c>
      <c r="E211" s="260" t="s">
        <v>230</v>
      </c>
      <c r="F211" s="260" t="str">
        <f t="shared" si="40"/>
        <v>R-32/R-125/HFO-1234yf/R-134a (24,3/24,7/25,3/25,7)</v>
      </c>
      <c r="G211" s="266">
        <v>1396</v>
      </c>
    </row>
    <row r="212" spans="1:34" x14ac:dyDescent="0.25">
      <c r="D212" s="260" t="s">
        <v>231</v>
      </c>
      <c r="E212" s="260" t="s">
        <v>232</v>
      </c>
      <c r="F212" s="260" t="str">
        <f t="shared" si="40"/>
        <v>R-125/R-32/HFO-1234yf (59/11/30)</v>
      </c>
      <c r="G212" s="266">
        <v>2140</v>
      </c>
    </row>
    <row r="213" spans="1:34" x14ac:dyDescent="0.25">
      <c r="D213" s="260" t="s">
        <v>233</v>
      </c>
      <c r="E213" s="260" t="s">
        <v>234</v>
      </c>
      <c r="F213" s="260" t="str">
        <f t="shared" si="40"/>
        <v>R-134a/125/32/227ea/600/601a (53,8/20/20/5/0,6/0,6)</v>
      </c>
      <c r="G213" s="266">
        <v>1765</v>
      </c>
    </row>
    <row r="214" spans="1:34" x14ac:dyDescent="0.25">
      <c r="D214" s="260" t="s">
        <v>235</v>
      </c>
      <c r="E214" s="260" t="s">
        <v>236</v>
      </c>
      <c r="F214" s="260" t="str">
        <f t="shared" si="40"/>
        <v>R-125/143a (50/50)</v>
      </c>
      <c r="G214" s="266">
        <v>3985</v>
      </c>
    </row>
    <row r="215" spans="1:34" x14ac:dyDescent="0.25">
      <c r="D215" s="260" t="s">
        <v>782</v>
      </c>
      <c r="E215" s="260" t="s">
        <v>782</v>
      </c>
      <c r="F215" s="260" t="s">
        <v>106</v>
      </c>
      <c r="G215" s="266" t="s">
        <v>106</v>
      </c>
    </row>
    <row r="217" spans="1:34" x14ac:dyDescent="0.25">
      <c r="A217" s="213" t="s">
        <v>237</v>
      </c>
    </row>
    <row r="218" spans="1:34" x14ac:dyDescent="0.25">
      <c r="A218" s="213"/>
      <c r="I218" s="227"/>
      <c r="J218" s="227"/>
    </row>
    <row r="219" spans="1:34" x14ac:dyDescent="0.25">
      <c r="A219" s="213"/>
      <c r="C219" s="268" t="s">
        <v>238</v>
      </c>
      <c r="D219" s="268">
        <v>1</v>
      </c>
      <c r="J219" s="227"/>
      <c r="K219" s="227"/>
    </row>
    <row r="220" spans="1:34" x14ac:dyDescent="0.25">
      <c r="A220" s="213"/>
      <c r="C220" s="268" t="s">
        <v>239</v>
      </c>
      <c r="D220" s="268">
        <v>2</v>
      </c>
      <c r="J220" s="227"/>
      <c r="K220" s="227"/>
    </row>
    <row r="221" spans="1:34" ht="27" customHeight="1" x14ac:dyDescent="0.4">
      <c r="A221" s="213"/>
      <c r="B221" t="s">
        <v>240</v>
      </c>
      <c r="E221" s="271" t="s">
        <v>241</v>
      </c>
      <c r="J221" s="224" t="s">
        <v>79</v>
      </c>
      <c r="K221" s="224"/>
      <c r="L221" s="224"/>
      <c r="AH221" s="272"/>
    </row>
    <row r="222" spans="1:34" s="220" customFormat="1" ht="48" x14ac:dyDescent="0.2">
      <c r="C222" s="240" t="s">
        <v>242</v>
      </c>
      <c r="D222" s="240" t="s">
        <v>243</v>
      </c>
      <c r="E222" s="242" t="s">
        <v>138</v>
      </c>
      <c r="F222" s="240" t="s">
        <v>244</v>
      </c>
      <c r="G222" s="240" t="s">
        <v>245</v>
      </c>
      <c r="I222" s="273" t="s">
        <v>246</v>
      </c>
      <c r="J222" s="274" t="s">
        <v>247</v>
      </c>
      <c r="K222" s="274" t="s">
        <v>248</v>
      </c>
      <c r="L222" s="274" t="s">
        <v>249</v>
      </c>
      <c r="M222" s="274" t="s">
        <v>250</v>
      </c>
      <c r="N222" s="274" t="s">
        <v>251</v>
      </c>
      <c r="O222" s="274" t="s">
        <v>252</v>
      </c>
      <c r="P222" s="274" t="s">
        <v>253</v>
      </c>
      <c r="Q222" s="274" t="s">
        <v>254</v>
      </c>
      <c r="R222" s="274" t="s">
        <v>255</v>
      </c>
      <c r="S222" s="274" t="s">
        <v>256</v>
      </c>
      <c r="T222" s="274" t="s">
        <v>257</v>
      </c>
      <c r="U222" s="274" t="s">
        <v>258</v>
      </c>
      <c r="V222" s="274" t="s">
        <v>259</v>
      </c>
      <c r="W222" s="274" t="s">
        <v>260</v>
      </c>
      <c r="X222" s="274" t="s">
        <v>261</v>
      </c>
      <c r="Y222" s="274" t="s">
        <v>262</v>
      </c>
      <c r="Z222" s="274" t="s">
        <v>263</v>
      </c>
      <c r="AA222" s="274" t="s">
        <v>264</v>
      </c>
      <c r="AB222" s="275" t="s">
        <v>265</v>
      </c>
      <c r="AC222" s="275" t="s">
        <v>266</v>
      </c>
      <c r="AE222" s="276" t="s">
        <v>267</v>
      </c>
      <c r="AF222" s="276" t="s">
        <v>268</v>
      </c>
    </row>
    <row r="223" spans="1:34" ht="18.75" customHeight="1" x14ac:dyDescent="0.3">
      <c r="C223" s="277">
        <f>'4.2_Electricitat Espanya'!F20</f>
        <v>0</v>
      </c>
      <c r="D223" s="277">
        <f>'4.2_Electricitat Espanya'!G20</f>
        <v>0</v>
      </c>
      <c r="E223" s="278" t="e">
        <f t="shared" ref="E223:E244" ca="1" si="46">IF(D223=$C$248,$D$248,IF(D223=$C$249,$D$249,VLOOKUP(C223,$AE$223:$AF$467,2,0)))</f>
        <v>#N/A</v>
      </c>
      <c r="F223" s="277" t="str">
        <f>IF(ISNUMBER('4.2_Electricitat Espanya'!H20),('4.2_Electricitat Espanya'!H20*'4.2_Electricitat Espanya'!I20),"")</f>
        <v/>
      </c>
      <c r="G223" s="268">
        <f t="shared" ref="G223:G244" si="47">IF(OR(C223="Varias comercializadoras",C223="Otras"),1,2)</f>
        <v>2</v>
      </c>
      <c r="I223" s="279" t="s">
        <v>941</v>
      </c>
      <c r="J223" s="280" t="s">
        <v>269</v>
      </c>
      <c r="K223" s="281">
        <v>0</v>
      </c>
      <c r="L223" s="280" t="s">
        <v>269</v>
      </c>
      <c r="M223" s="281">
        <v>0</v>
      </c>
      <c r="N223" s="280" t="s">
        <v>269</v>
      </c>
      <c r="O223" s="281">
        <v>0</v>
      </c>
      <c r="P223" s="280" t="s">
        <v>269</v>
      </c>
      <c r="Q223" s="282">
        <v>0</v>
      </c>
      <c r="R223" s="280" t="s">
        <v>269</v>
      </c>
      <c r="S223" s="283">
        <v>0</v>
      </c>
      <c r="T223" s="280" t="s">
        <v>269</v>
      </c>
      <c r="U223" s="283">
        <v>0</v>
      </c>
      <c r="V223" s="280" t="s">
        <v>270</v>
      </c>
      <c r="W223" s="283">
        <v>0.34000000357627902</v>
      </c>
      <c r="X223" s="280" t="s">
        <v>271</v>
      </c>
      <c r="Y223" s="283">
        <v>0</v>
      </c>
      <c r="Z223" s="280" t="s">
        <v>272</v>
      </c>
      <c r="AA223" s="283">
        <v>0</v>
      </c>
      <c r="AB223" s="284" t="s">
        <v>269</v>
      </c>
      <c r="AC223" s="285">
        <v>0</v>
      </c>
      <c r="AE223" s="277" t="str">
        <f t="shared" ref="AE223:AE286" ca="1" si="48">INDIRECT("_Com"&amp;$F$2)</f>
        <v>ACCIONA GREEN ENERGY DEVELOPMENTS, S.L.</v>
      </c>
      <c r="AF223" s="286">
        <f t="shared" ref="AF223:AF286" ca="1" si="49">INDIRECT("_Mix"&amp;$F$2)</f>
        <v>0</v>
      </c>
    </row>
    <row r="224" spans="1:34" ht="18.75" customHeight="1" x14ac:dyDescent="0.3">
      <c r="C224" s="277">
        <f>'4.2_Electricitat Espanya'!F21</f>
        <v>0</v>
      </c>
      <c r="D224" s="277">
        <f>'4.2_Electricitat Espanya'!G21</f>
        <v>0</v>
      </c>
      <c r="E224" s="278" t="e">
        <f t="shared" ca="1" si="46"/>
        <v>#N/A</v>
      </c>
      <c r="F224" s="277" t="str">
        <f>IF(ISNUMBER('4.2_Electricitat Espanya'!H21),('4.2_Electricitat Espanya'!H21*'4.2_Electricitat Espanya'!I21),"")</f>
        <v/>
      </c>
      <c r="G224" s="268">
        <f t="shared" si="47"/>
        <v>2</v>
      </c>
      <c r="I224" s="279" t="s">
        <v>942</v>
      </c>
      <c r="J224" s="280" t="s">
        <v>273</v>
      </c>
      <c r="K224" s="281">
        <v>0.36</v>
      </c>
      <c r="L224" s="280" t="s">
        <v>274</v>
      </c>
      <c r="M224" s="281">
        <v>0.38999998569488498</v>
      </c>
      <c r="N224" s="280" t="s">
        <v>274</v>
      </c>
      <c r="O224" s="281">
        <v>0.25</v>
      </c>
      <c r="P224" s="280" t="s">
        <v>275</v>
      </c>
      <c r="Q224" s="282">
        <v>0.37000000476837203</v>
      </c>
      <c r="R224" s="280" t="s">
        <v>276</v>
      </c>
      <c r="S224" s="283">
        <v>0.40000000596046498</v>
      </c>
      <c r="T224" s="280" t="s">
        <v>272</v>
      </c>
      <c r="U224" s="283">
        <v>0</v>
      </c>
      <c r="V224" s="280" t="s">
        <v>269</v>
      </c>
      <c r="W224" s="283">
        <v>0</v>
      </c>
      <c r="X224" s="280" t="s">
        <v>269</v>
      </c>
      <c r="Y224" s="283">
        <v>0</v>
      </c>
      <c r="Z224" s="280" t="s">
        <v>269</v>
      </c>
      <c r="AA224" s="283">
        <v>0</v>
      </c>
      <c r="AB224" s="284" t="s">
        <v>272</v>
      </c>
      <c r="AC224" s="285">
        <v>0</v>
      </c>
      <c r="AE224" s="277" t="str">
        <f t="shared" ca="1" si="48"/>
        <v>ACCIÓN ENERGÍA COMERCIALIZADORA, S.L.</v>
      </c>
      <c r="AF224" s="286">
        <f t="shared" ca="1" si="49"/>
        <v>0</v>
      </c>
    </row>
    <row r="225" spans="3:32" ht="18.75" customHeight="1" x14ac:dyDescent="0.3">
      <c r="C225" s="277">
        <f>'4.2_Electricitat Espanya'!F22</f>
        <v>0</v>
      </c>
      <c r="D225" s="277">
        <f>'4.2_Electricitat Espanya'!G22</f>
        <v>0</v>
      </c>
      <c r="E225" s="278" t="e">
        <f t="shared" ca="1" si="46"/>
        <v>#N/A</v>
      </c>
      <c r="F225" s="277" t="str">
        <f>IF(ISNUMBER('4.2_Electricitat Espanya'!H22),('4.2_Electricitat Espanya'!H22*'4.2_Electricitat Espanya'!I22),"")</f>
        <v/>
      </c>
      <c r="G225" s="268">
        <f t="shared" si="47"/>
        <v>2</v>
      </c>
      <c r="I225" s="279" t="s">
        <v>21</v>
      </c>
      <c r="J225" s="280" t="s">
        <v>274</v>
      </c>
      <c r="K225" s="281">
        <v>0.35</v>
      </c>
      <c r="L225" s="280" t="s">
        <v>277</v>
      </c>
      <c r="M225" s="281">
        <v>0.40000000596046498</v>
      </c>
      <c r="N225" s="280" t="s">
        <v>278</v>
      </c>
      <c r="O225" s="281">
        <v>2.9999999329447701E-2</v>
      </c>
      <c r="P225" s="280" t="s">
        <v>279</v>
      </c>
      <c r="Q225" s="282">
        <v>0.28999999165535001</v>
      </c>
      <c r="R225" s="280" t="s">
        <v>280</v>
      </c>
      <c r="S225" s="283">
        <v>0</v>
      </c>
      <c r="T225" s="280" t="s">
        <v>281</v>
      </c>
      <c r="U225" s="283">
        <v>0.33000001311302202</v>
      </c>
      <c r="V225" s="280" t="s">
        <v>272</v>
      </c>
      <c r="W225" s="283">
        <v>7.0000000298023196E-2</v>
      </c>
      <c r="X225" s="280" t="s">
        <v>272</v>
      </c>
      <c r="Y225" s="283">
        <v>0</v>
      </c>
      <c r="Z225" s="280" t="s">
        <v>282</v>
      </c>
      <c r="AA225" s="283">
        <v>0.28999999165535001</v>
      </c>
      <c r="AB225" s="284" t="s">
        <v>282</v>
      </c>
      <c r="AC225" s="285">
        <v>0</v>
      </c>
      <c r="AE225" s="277" t="str">
        <f t="shared" ca="1" si="48"/>
        <v>ACSOL ENERGÍA GLOBAL, S.A.</v>
      </c>
      <c r="AF225" s="286">
        <f t="shared" ca="1" si="49"/>
        <v>0</v>
      </c>
    </row>
    <row r="226" spans="3:32" ht="16.5" x14ac:dyDescent="0.3">
      <c r="C226" s="277">
        <f>'4.2_Electricitat Espanya'!F23</f>
        <v>0</v>
      </c>
      <c r="D226" s="277">
        <f>'4.2_Electricitat Espanya'!G23</f>
        <v>0</v>
      </c>
      <c r="E226" s="278" t="e">
        <f t="shared" ca="1" si="46"/>
        <v>#N/A</v>
      </c>
      <c r="F226" s="277" t="str">
        <f>IF(ISNUMBER('4.2_Electricitat Espanya'!H23),('4.2_Electricitat Espanya'!H23*'4.2_Electricitat Espanya'!I23),"")</f>
        <v/>
      </c>
      <c r="G226" s="268">
        <f t="shared" si="47"/>
        <v>2</v>
      </c>
      <c r="I226" s="287"/>
      <c r="J226" s="280" t="s">
        <v>277</v>
      </c>
      <c r="K226" s="281">
        <v>0.36</v>
      </c>
      <c r="L226" s="280" t="s">
        <v>283</v>
      </c>
      <c r="M226" s="281">
        <v>0.31000000238418601</v>
      </c>
      <c r="N226" s="280" t="s">
        <v>284</v>
      </c>
      <c r="O226" s="281">
        <v>0</v>
      </c>
      <c r="P226" s="280" t="s">
        <v>285</v>
      </c>
      <c r="Q226" s="282">
        <v>0</v>
      </c>
      <c r="R226" s="280" t="s">
        <v>286</v>
      </c>
      <c r="S226" s="283">
        <v>0.40000000596046498</v>
      </c>
      <c r="T226" s="280" t="s">
        <v>287</v>
      </c>
      <c r="U226" s="283">
        <v>0</v>
      </c>
      <c r="V226" s="280" t="s">
        <v>282</v>
      </c>
      <c r="W226" s="283">
        <v>0.43000000715255698</v>
      </c>
      <c r="X226" s="280" t="s">
        <v>282</v>
      </c>
      <c r="Y226" s="283">
        <v>0.40999999642372098</v>
      </c>
      <c r="Z226" s="280" t="s">
        <v>281</v>
      </c>
      <c r="AA226" s="283">
        <v>0.119999997317791</v>
      </c>
      <c r="AB226" s="284" t="s">
        <v>288</v>
      </c>
      <c r="AC226" s="285">
        <v>0</v>
      </c>
      <c r="AE226" s="277" t="str">
        <f t="shared" ca="1" si="48"/>
        <v>ACTIVA COMERCIALIZADORA DE ENERGÍA SL</v>
      </c>
      <c r="AF226" s="286">
        <f t="shared" ca="1" si="49"/>
        <v>0</v>
      </c>
    </row>
    <row r="227" spans="3:32" ht="16.5" x14ac:dyDescent="0.3">
      <c r="C227" s="277">
        <f>'4.2_Electricitat Espanya'!F24</f>
        <v>0</v>
      </c>
      <c r="D227" s="277">
        <f>'4.2_Electricitat Espanya'!G24</f>
        <v>0</v>
      </c>
      <c r="E227" s="278" t="e">
        <f t="shared" ca="1" si="46"/>
        <v>#N/A</v>
      </c>
      <c r="F227" s="277" t="str">
        <f>IF(ISNUMBER('4.2_Electricitat Espanya'!H24),('4.2_Electricitat Espanya'!H24*'4.2_Electricitat Espanya'!I24),"")</f>
        <v/>
      </c>
      <c r="G227" s="268">
        <f t="shared" si="47"/>
        <v>2</v>
      </c>
      <c r="I227" s="287"/>
      <c r="J227" s="280" t="s">
        <v>283</v>
      </c>
      <c r="K227" s="281">
        <v>0.16</v>
      </c>
      <c r="L227" s="280" t="s">
        <v>289</v>
      </c>
      <c r="M227" s="281">
        <v>0.30000001192092901</v>
      </c>
      <c r="N227" s="280" t="s">
        <v>290</v>
      </c>
      <c r="O227" s="281">
        <v>0</v>
      </c>
      <c r="P227" s="280" t="s">
        <v>278</v>
      </c>
      <c r="Q227" s="282">
        <v>0</v>
      </c>
      <c r="R227" s="280" t="s">
        <v>279</v>
      </c>
      <c r="S227" s="283">
        <v>0</v>
      </c>
      <c r="T227" s="280" t="s">
        <v>291</v>
      </c>
      <c r="U227" s="283">
        <v>0.30000001192092901</v>
      </c>
      <c r="V227" s="280" t="s">
        <v>281</v>
      </c>
      <c r="W227" s="283">
        <v>0.38999998569488498</v>
      </c>
      <c r="X227" s="280" t="s">
        <v>281</v>
      </c>
      <c r="Y227" s="283">
        <v>0.31000000238418601</v>
      </c>
      <c r="Z227" s="280" t="s">
        <v>292</v>
      </c>
      <c r="AA227" s="283">
        <v>3.9999999105930301E-2</v>
      </c>
      <c r="AB227" s="284" t="s">
        <v>281</v>
      </c>
      <c r="AC227" s="285">
        <v>0</v>
      </c>
      <c r="AE227" s="277" t="str">
        <f t="shared" ca="1" si="48"/>
        <v>ADEINNOVA ENERGÍA, S.L.U.</v>
      </c>
      <c r="AF227" s="286">
        <f t="shared" ca="1" si="49"/>
        <v>0</v>
      </c>
    </row>
    <row r="228" spans="3:32" ht="16.5" x14ac:dyDescent="0.3">
      <c r="C228" s="277">
        <f>'4.2_Electricitat Espanya'!F25</f>
        <v>0</v>
      </c>
      <c r="D228" s="277">
        <f>'4.2_Electricitat Espanya'!G25</f>
        <v>0</v>
      </c>
      <c r="E228" s="278" t="e">
        <f t="shared" ca="1" si="46"/>
        <v>#N/A</v>
      </c>
      <c r="F228" s="277" t="str">
        <f>IF(ISNUMBER('4.2_Electricitat Espanya'!H25),('4.2_Electricitat Espanya'!H25*'4.2_Electricitat Espanya'!I25),"")</f>
        <v/>
      </c>
      <c r="G228" s="268">
        <f t="shared" si="47"/>
        <v>2</v>
      </c>
      <c r="I228" s="287"/>
      <c r="J228" s="280" t="s">
        <v>289</v>
      </c>
      <c r="K228" s="281">
        <v>0.21</v>
      </c>
      <c r="L228" s="280" t="s">
        <v>293</v>
      </c>
      <c r="M228" s="281">
        <v>0</v>
      </c>
      <c r="N228" s="280" t="s">
        <v>277</v>
      </c>
      <c r="O228" s="281">
        <v>0.34999999403953602</v>
      </c>
      <c r="P228" s="280" t="s">
        <v>294</v>
      </c>
      <c r="Q228" s="282">
        <v>0</v>
      </c>
      <c r="R228" s="280" t="s">
        <v>285</v>
      </c>
      <c r="S228" s="283">
        <v>0.25</v>
      </c>
      <c r="T228" s="280" t="s">
        <v>276</v>
      </c>
      <c r="U228" s="283">
        <v>0.36000001430511502</v>
      </c>
      <c r="V228" s="280" t="s">
        <v>275</v>
      </c>
      <c r="W228" s="283">
        <v>0.41999998688697798</v>
      </c>
      <c r="X228" s="280" t="s">
        <v>292</v>
      </c>
      <c r="Y228" s="283">
        <v>0.34999999403953602</v>
      </c>
      <c r="Z228" s="280" t="s">
        <v>295</v>
      </c>
      <c r="AA228" s="283">
        <v>0</v>
      </c>
      <c r="AB228" s="284" t="s">
        <v>292</v>
      </c>
      <c r="AC228" s="285">
        <v>0</v>
      </c>
      <c r="AE228" s="277" t="str">
        <f t="shared" ca="1" si="48"/>
        <v>ADELFAS ENERGÍA, S.L.</v>
      </c>
      <c r="AF228" s="286">
        <f t="shared" ca="1" si="49"/>
        <v>0</v>
      </c>
    </row>
    <row r="229" spans="3:32" ht="16.5" x14ac:dyDescent="0.3">
      <c r="C229" s="277">
        <f>'4.2_Electricitat Espanya'!F26</f>
        <v>0</v>
      </c>
      <c r="D229" s="277">
        <f>'4.2_Electricitat Espanya'!G26</f>
        <v>0</v>
      </c>
      <c r="E229" s="278" t="e">
        <f t="shared" ca="1" si="46"/>
        <v>#N/A</v>
      </c>
      <c r="F229" s="277" t="str">
        <f>IF(ISNUMBER('4.2_Electricitat Espanya'!H26),('4.2_Electricitat Espanya'!H26*'4.2_Electricitat Espanya'!I26),"")</f>
        <v/>
      </c>
      <c r="G229" s="268">
        <f t="shared" si="47"/>
        <v>2</v>
      </c>
      <c r="I229" s="287"/>
      <c r="J229" s="280" t="s">
        <v>293</v>
      </c>
      <c r="K229" s="281">
        <v>0</v>
      </c>
      <c r="L229" s="280" t="s">
        <v>296</v>
      </c>
      <c r="M229" s="281">
        <v>0</v>
      </c>
      <c r="N229" s="280" t="s">
        <v>289</v>
      </c>
      <c r="O229" s="281">
        <v>0.25</v>
      </c>
      <c r="P229" s="280" t="s">
        <v>297</v>
      </c>
      <c r="Q229" s="282">
        <v>0.37000000476837203</v>
      </c>
      <c r="R229" s="280" t="s">
        <v>278</v>
      </c>
      <c r="S229" s="283">
        <v>0</v>
      </c>
      <c r="T229" s="280" t="s">
        <v>280</v>
      </c>
      <c r="U229" s="283">
        <v>0</v>
      </c>
      <c r="V229" s="280" t="s">
        <v>287</v>
      </c>
      <c r="W229" s="283">
        <v>0</v>
      </c>
      <c r="X229" s="280" t="s">
        <v>275</v>
      </c>
      <c r="Y229" s="283">
        <v>0.36000001430511502</v>
      </c>
      <c r="Z229" s="280" t="s">
        <v>298</v>
      </c>
      <c r="AA229" s="283">
        <v>0</v>
      </c>
      <c r="AB229" s="284" t="s">
        <v>295</v>
      </c>
      <c r="AC229" s="285">
        <v>0</v>
      </c>
      <c r="AE229" s="277" t="str">
        <f t="shared" ca="1" si="48"/>
        <v>ADS ENERGY 8,0, S.L.</v>
      </c>
      <c r="AF229" s="286">
        <f t="shared" ca="1" si="49"/>
        <v>0</v>
      </c>
    </row>
    <row r="230" spans="3:32" ht="16.5" x14ac:dyDescent="0.3">
      <c r="C230" s="277">
        <f>'4.2_Electricitat Espanya'!F27</f>
        <v>0</v>
      </c>
      <c r="D230" s="277">
        <f>'4.2_Electricitat Espanya'!G27</f>
        <v>0</v>
      </c>
      <c r="E230" s="278" t="e">
        <f t="shared" ca="1" si="46"/>
        <v>#N/A</v>
      </c>
      <c r="F230" s="277" t="str">
        <f>IF(ISNUMBER('4.2_Electricitat Espanya'!H27),('4.2_Electricitat Espanya'!H27*'4.2_Electricitat Espanya'!I27),"")</f>
        <v/>
      </c>
      <c r="G230" s="268">
        <f t="shared" si="47"/>
        <v>2</v>
      </c>
      <c r="I230" s="287"/>
      <c r="J230" s="280" t="s">
        <v>296</v>
      </c>
      <c r="K230" s="281">
        <v>0.19</v>
      </c>
      <c r="L230" s="280" t="s">
        <v>299</v>
      </c>
      <c r="M230" s="281">
        <v>0.37000000476837203</v>
      </c>
      <c r="N230" s="280" t="s">
        <v>300</v>
      </c>
      <c r="O230" s="281">
        <v>0</v>
      </c>
      <c r="P230" s="280" t="s">
        <v>290</v>
      </c>
      <c r="Q230" s="282">
        <v>0</v>
      </c>
      <c r="R230" s="280" t="s">
        <v>301</v>
      </c>
      <c r="S230" s="283">
        <v>0.38999998569488498</v>
      </c>
      <c r="T230" s="280" t="s">
        <v>302</v>
      </c>
      <c r="U230" s="283">
        <v>0</v>
      </c>
      <c r="V230" s="280" t="s">
        <v>291</v>
      </c>
      <c r="W230" s="283">
        <v>0.31999999284744302</v>
      </c>
      <c r="X230" s="280" t="s">
        <v>287</v>
      </c>
      <c r="Y230" s="283">
        <v>0</v>
      </c>
      <c r="Z230" s="280" t="s">
        <v>275</v>
      </c>
      <c r="AA230" s="283">
        <v>0.270000010728836</v>
      </c>
      <c r="AB230" s="284" t="s">
        <v>298</v>
      </c>
      <c r="AC230" s="285">
        <v>0</v>
      </c>
      <c r="AE230" s="277" t="str">
        <f t="shared" ca="1" si="48"/>
        <v>ADURIZ ENERGÍA, S.L.U.</v>
      </c>
      <c r="AF230" s="286">
        <f t="shared" ca="1" si="49"/>
        <v>0</v>
      </c>
    </row>
    <row r="231" spans="3:32" ht="16.5" x14ac:dyDescent="0.3">
      <c r="C231" s="277">
        <f>'4.2_Electricitat Espanya'!F28</f>
        <v>0</v>
      </c>
      <c r="D231" s="277">
        <f>'4.2_Electricitat Espanya'!G28</f>
        <v>0</v>
      </c>
      <c r="E231" s="278" t="e">
        <f t="shared" ca="1" si="46"/>
        <v>#N/A</v>
      </c>
      <c r="F231" s="277" t="str">
        <f>IF(ISNUMBER('4.2_Electricitat Espanya'!H28),('4.2_Electricitat Espanya'!H28*'4.2_Electricitat Espanya'!I28),"")</f>
        <v/>
      </c>
      <c r="G231" s="268">
        <f t="shared" si="47"/>
        <v>2</v>
      </c>
      <c r="I231" s="287"/>
      <c r="J231" s="280" t="s">
        <v>299</v>
      </c>
      <c r="K231" s="281">
        <v>0.33</v>
      </c>
      <c r="L231" s="280" t="s">
        <v>303</v>
      </c>
      <c r="M231" s="281">
        <v>0</v>
      </c>
      <c r="N231" s="280" t="s">
        <v>296</v>
      </c>
      <c r="O231" s="281">
        <v>0</v>
      </c>
      <c r="P231" s="280" t="s">
        <v>277</v>
      </c>
      <c r="Q231" s="282">
        <v>0.36000001430511502</v>
      </c>
      <c r="R231" s="280" t="s">
        <v>294</v>
      </c>
      <c r="S231" s="283">
        <v>0</v>
      </c>
      <c r="T231" s="280" t="s">
        <v>286</v>
      </c>
      <c r="U231" s="283">
        <v>0.36000001430511502</v>
      </c>
      <c r="V231" s="280" t="s">
        <v>276</v>
      </c>
      <c r="W231" s="283">
        <v>0.41999998688697798</v>
      </c>
      <c r="X231" s="280" t="s">
        <v>304</v>
      </c>
      <c r="Y231" s="283">
        <v>0.40999999642372098</v>
      </c>
      <c r="Z231" s="280" t="s">
        <v>287</v>
      </c>
      <c r="AA231" s="283">
        <v>0</v>
      </c>
      <c r="AB231" s="284" t="s">
        <v>275</v>
      </c>
      <c r="AC231" s="285">
        <v>0.18</v>
      </c>
      <c r="AE231" s="277" t="str">
        <f t="shared" ca="1" si="48"/>
        <v>AGENTE DEL MERCADO ELÉCTRICO, S.A.</v>
      </c>
      <c r="AF231" s="286">
        <f t="shared" ca="1" si="49"/>
        <v>0.18</v>
      </c>
    </row>
    <row r="232" spans="3:32" ht="16.5" x14ac:dyDescent="0.3">
      <c r="C232" s="277">
        <f>'4.2_Electricitat Espanya'!F29</f>
        <v>0</v>
      </c>
      <c r="D232" s="277">
        <f>'4.2_Electricitat Espanya'!G29</f>
        <v>0</v>
      </c>
      <c r="E232" s="278" t="e">
        <f t="shared" ca="1" si="46"/>
        <v>#N/A</v>
      </c>
      <c r="F232" s="277" t="str">
        <f>IF(ISNUMBER('4.2_Electricitat Espanya'!H29),('4.2_Electricitat Espanya'!H29*'4.2_Electricitat Espanya'!I29),"")</f>
        <v/>
      </c>
      <c r="G232" s="268">
        <f t="shared" si="47"/>
        <v>2</v>
      </c>
      <c r="I232" s="287"/>
      <c r="J232" s="280" t="s">
        <v>303</v>
      </c>
      <c r="K232" s="281">
        <v>0</v>
      </c>
      <c r="L232" s="280" t="s">
        <v>305</v>
      </c>
      <c r="M232" s="281">
        <v>0.25</v>
      </c>
      <c r="N232" s="280" t="s">
        <v>299</v>
      </c>
      <c r="O232" s="281">
        <v>0.31000000238418601</v>
      </c>
      <c r="P232" s="280" t="s">
        <v>306</v>
      </c>
      <c r="Q232" s="282">
        <v>0</v>
      </c>
      <c r="R232" s="280" t="s">
        <v>290</v>
      </c>
      <c r="S232" s="283">
        <v>0</v>
      </c>
      <c r="T232" s="280" t="s">
        <v>279</v>
      </c>
      <c r="U232" s="283">
        <v>0</v>
      </c>
      <c r="V232" s="280" t="s">
        <v>274</v>
      </c>
      <c r="W232" s="283">
        <v>5.9999998658895499E-2</v>
      </c>
      <c r="X232" s="280" t="s">
        <v>291</v>
      </c>
      <c r="Y232" s="283">
        <v>0.30000001192092901</v>
      </c>
      <c r="Z232" s="280" t="s">
        <v>304</v>
      </c>
      <c r="AA232" s="283">
        <v>0.31000000238418601</v>
      </c>
      <c r="AB232" s="284" t="s">
        <v>287</v>
      </c>
      <c r="AC232" s="285">
        <v>0</v>
      </c>
      <c r="AE232" s="277" t="str">
        <f t="shared" ca="1" si="48"/>
        <v>AGRI-ENERGÍA, S.A.</v>
      </c>
      <c r="AF232" s="286">
        <f t="shared" ca="1" si="49"/>
        <v>0</v>
      </c>
    </row>
    <row r="233" spans="3:32" ht="16.5" x14ac:dyDescent="0.3">
      <c r="C233" s="277">
        <f>'4.2_Electricitat Espanya'!F30</f>
        <v>0</v>
      </c>
      <c r="D233" s="277">
        <f>'4.2_Electricitat Espanya'!G30</f>
        <v>0</v>
      </c>
      <c r="E233" s="278" t="e">
        <f t="shared" ca="1" si="46"/>
        <v>#N/A</v>
      </c>
      <c r="F233" s="277" t="str">
        <f>IF(ISNUMBER('4.2_Electricitat Espanya'!H30),('4.2_Electricitat Espanya'!H30*'4.2_Electricitat Espanya'!I30),"")</f>
        <v/>
      </c>
      <c r="G233" s="268">
        <f t="shared" si="47"/>
        <v>2</v>
      </c>
      <c r="I233" s="287"/>
      <c r="J233" s="280" t="s">
        <v>307</v>
      </c>
      <c r="K233" s="281">
        <v>0.23</v>
      </c>
      <c r="L233" s="280" t="s">
        <v>308</v>
      </c>
      <c r="M233" s="281">
        <v>0.140000000596046</v>
      </c>
      <c r="N233" s="280" t="s">
        <v>309</v>
      </c>
      <c r="O233" s="281">
        <v>0.28000000119209301</v>
      </c>
      <c r="P233" s="280" t="s">
        <v>289</v>
      </c>
      <c r="Q233" s="282">
        <v>0.270000010728836</v>
      </c>
      <c r="R233" s="280" t="s">
        <v>277</v>
      </c>
      <c r="S233" s="283">
        <v>0.40000000596046498</v>
      </c>
      <c r="T233" s="280" t="s">
        <v>285</v>
      </c>
      <c r="U233" s="283">
        <v>0.15000000596046401</v>
      </c>
      <c r="V233" s="280" t="s">
        <v>280</v>
      </c>
      <c r="W233" s="283">
        <v>1.9999999552965199E-2</v>
      </c>
      <c r="X233" s="280" t="s">
        <v>276</v>
      </c>
      <c r="Y233" s="283">
        <v>0.40000000596046498</v>
      </c>
      <c r="Z233" s="280" t="s">
        <v>310</v>
      </c>
      <c r="AA233" s="283">
        <v>0</v>
      </c>
      <c r="AB233" s="284" t="s">
        <v>304</v>
      </c>
      <c r="AC233" s="285">
        <v>0.25</v>
      </c>
      <c r="AE233" s="277" t="str">
        <f t="shared" ca="1" si="48"/>
        <v>AGUAS DE BARBASTRO ENERGÍA, S.L.</v>
      </c>
      <c r="AF233" s="286">
        <f t="shared" ca="1" si="49"/>
        <v>0.25</v>
      </c>
    </row>
    <row r="234" spans="3:32" ht="16.5" x14ac:dyDescent="0.3">
      <c r="C234" s="277">
        <f>'4.2_Electricitat Espanya'!F31</f>
        <v>0</v>
      </c>
      <c r="D234" s="277">
        <f>'4.2_Electricitat Espanya'!G31</f>
        <v>0</v>
      </c>
      <c r="E234" s="278" t="e">
        <f t="shared" ca="1" si="46"/>
        <v>#N/A</v>
      </c>
      <c r="F234" s="277" t="str">
        <f>IF(ISNUMBER('4.2_Electricitat Espanya'!H31),('4.2_Electricitat Espanya'!H31*'4.2_Electricitat Espanya'!I31),"")</f>
        <v/>
      </c>
      <c r="G234" s="268">
        <f t="shared" si="47"/>
        <v>2</v>
      </c>
      <c r="I234" s="287"/>
      <c r="J234" s="280" t="s">
        <v>308</v>
      </c>
      <c r="K234" s="281">
        <v>0.08</v>
      </c>
      <c r="L234" s="280" t="s">
        <v>311</v>
      </c>
      <c r="M234" s="281">
        <v>0.129999995231628</v>
      </c>
      <c r="N234" s="280" t="s">
        <v>312</v>
      </c>
      <c r="O234" s="281">
        <v>0.36000001430511502</v>
      </c>
      <c r="P234" s="280" t="s">
        <v>300</v>
      </c>
      <c r="Q234" s="282">
        <v>0.259999990463257</v>
      </c>
      <c r="R234" s="280" t="s">
        <v>313</v>
      </c>
      <c r="S234" s="283">
        <v>0.40000000596046498</v>
      </c>
      <c r="T234" s="280" t="s">
        <v>278</v>
      </c>
      <c r="U234" s="283">
        <v>0</v>
      </c>
      <c r="V234" s="280" t="s">
        <v>314</v>
      </c>
      <c r="W234" s="283">
        <v>0</v>
      </c>
      <c r="X234" s="280" t="s">
        <v>315</v>
      </c>
      <c r="Y234" s="283">
        <v>0</v>
      </c>
      <c r="Z234" s="280" t="s">
        <v>316</v>
      </c>
      <c r="AA234" s="283">
        <v>0.31000000238418601</v>
      </c>
      <c r="AB234" s="284" t="s">
        <v>310</v>
      </c>
      <c r="AC234" s="285">
        <v>0</v>
      </c>
      <c r="AE234" s="277" t="str">
        <f t="shared" ca="1" si="48"/>
        <v>AHORRELUZ SERVICIOS ONLINE S.L</v>
      </c>
      <c r="AF234" s="286">
        <f t="shared" ca="1" si="49"/>
        <v>0</v>
      </c>
    </row>
    <row r="235" spans="3:32" ht="16.5" x14ac:dyDescent="0.3">
      <c r="C235" s="277">
        <f>'4.2_Electricitat Espanya'!F32</f>
        <v>0</v>
      </c>
      <c r="D235" s="277">
        <f>'4.2_Electricitat Espanya'!G32</f>
        <v>0</v>
      </c>
      <c r="E235" s="278" t="e">
        <f t="shared" ca="1" si="46"/>
        <v>#N/A</v>
      </c>
      <c r="F235" s="277" t="str">
        <f>IF(ISNUMBER('4.2_Electricitat Espanya'!H32),('4.2_Electricitat Espanya'!H32*'4.2_Electricitat Espanya'!I32),"")</f>
        <v/>
      </c>
      <c r="G235" s="268">
        <f t="shared" si="47"/>
        <v>2</v>
      </c>
      <c r="I235" s="287"/>
      <c r="J235" s="280" t="s">
        <v>311</v>
      </c>
      <c r="K235" s="281">
        <v>0.08</v>
      </c>
      <c r="L235" s="280" t="s">
        <v>317</v>
      </c>
      <c r="M235" s="281">
        <v>9.9999997764825804E-3</v>
      </c>
      <c r="N235" s="280" t="s">
        <v>318</v>
      </c>
      <c r="O235" s="281">
        <v>0.31999999284744302</v>
      </c>
      <c r="P235" s="280" t="s">
        <v>296</v>
      </c>
      <c r="Q235" s="282">
        <v>0</v>
      </c>
      <c r="R235" s="280" t="s">
        <v>319</v>
      </c>
      <c r="S235" s="283">
        <v>0</v>
      </c>
      <c r="T235" s="280" t="s">
        <v>301</v>
      </c>
      <c r="U235" s="283">
        <v>0</v>
      </c>
      <c r="V235" s="280" t="s">
        <v>302</v>
      </c>
      <c r="W235" s="283">
        <v>0</v>
      </c>
      <c r="X235" s="280" t="s">
        <v>274</v>
      </c>
      <c r="Y235" s="283">
        <v>0.119999997317791</v>
      </c>
      <c r="Z235" s="280" t="s">
        <v>291</v>
      </c>
      <c r="AA235" s="283">
        <v>0</v>
      </c>
      <c r="AB235" s="284" t="s">
        <v>316</v>
      </c>
      <c r="AC235" s="285">
        <v>0.22</v>
      </c>
      <c r="AE235" s="277" t="str">
        <f t="shared" ca="1" si="48"/>
        <v>AHORRO ENERGÍA HOGAR INVESTMENTS, S.L.</v>
      </c>
      <c r="AF235" s="286">
        <f t="shared" ca="1" si="49"/>
        <v>0.22</v>
      </c>
    </row>
    <row r="236" spans="3:32" ht="16.5" x14ac:dyDescent="0.3">
      <c r="C236" s="277">
        <f>'4.2_Electricitat Espanya'!F33</f>
        <v>0</v>
      </c>
      <c r="D236" s="277">
        <f>'4.2_Electricitat Espanya'!G33</f>
        <v>0</v>
      </c>
      <c r="E236" s="278" t="e">
        <f t="shared" ca="1" si="46"/>
        <v>#N/A</v>
      </c>
      <c r="F236" s="277" t="str">
        <f>IF(ISNUMBER('4.2_Electricitat Espanya'!H33),('4.2_Electricitat Espanya'!H33*'4.2_Electricitat Espanya'!I33),"")</f>
        <v/>
      </c>
      <c r="G236" s="268">
        <f t="shared" si="47"/>
        <v>2</v>
      </c>
      <c r="I236" s="287"/>
      <c r="J236" s="280" t="s">
        <v>317</v>
      </c>
      <c r="K236" s="281">
        <v>0</v>
      </c>
      <c r="L236" s="280" t="s">
        <v>320</v>
      </c>
      <c r="M236" s="281">
        <v>0</v>
      </c>
      <c r="N236" s="280" t="s">
        <v>303</v>
      </c>
      <c r="O236" s="281">
        <v>0</v>
      </c>
      <c r="P236" s="280" t="s">
        <v>299</v>
      </c>
      <c r="Q236" s="282">
        <v>0.33000001311302202</v>
      </c>
      <c r="R236" s="280" t="s">
        <v>321</v>
      </c>
      <c r="S236" s="283">
        <v>0</v>
      </c>
      <c r="T236" s="280" t="s">
        <v>322</v>
      </c>
      <c r="U236" s="283">
        <v>0</v>
      </c>
      <c r="V236" s="280" t="s">
        <v>323</v>
      </c>
      <c r="W236" s="283">
        <v>0</v>
      </c>
      <c r="X236" s="280" t="s">
        <v>280</v>
      </c>
      <c r="Y236" s="283">
        <v>0.34999999403953602</v>
      </c>
      <c r="Z236" s="280" t="s">
        <v>276</v>
      </c>
      <c r="AA236" s="283">
        <v>0.30000001192092901</v>
      </c>
      <c r="AB236" s="284" t="s">
        <v>324</v>
      </c>
      <c r="AC236" s="285">
        <v>0</v>
      </c>
      <c r="AE236" s="277" t="str">
        <f t="shared" ca="1" si="48"/>
        <v>AIRE COMERCIALIZADORA S.L.</v>
      </c>
      <c r="AF236" s="286">
        <f t="shared" ca="1" si="49"/>
        <v>0</v>
      </c>
    </row>
    <row r="237" spans="3:32" ht="16.5" x14ac:dyDescent="0.3">
      <c r="C237" s="277">
        <f>'4.2_Electricitat Espanya'!F34</f>
        <v>0</v>
      </c>
      <c r="D237" s="277">
        <f>'4.2_Electricitat Espanya'!G34</f>
        <v>0</v>
      </c>
      <c r="E237" s="278" t="e">
        <f t="shared" ca="1" si="46"/>
        <v>#N/A</v>
      </c>
      <c r="F237" s="277" t="str">
        <f>IF(ISNUMBER('4.2_Electricitat Espanya'!H34),('4.2_Electricitat Espanya'!H34*'4.2_Electricitat Espanya'!I34),"")</f>
        <v/>
      </c>
      <c r="G237" s="268">
        <f t="shared" si="47"/>
        <v>2</v>
      </c>
      <c r="I237" s="287"/>
      <c r="J237" s="280" t="s">
        <v>325</v>
      </c>
      <c r="K237" s="281">
        <v>0</v>
      </c>
      <c r="L237" s="280" t="s">
        <v>325</v>
      </c>
      <c r="M237" s="281">
        <v>0</v>
      </c>
      <c r="N237" s="280" t="s">
        <v>305</v>
      </c>
      <c r="O237" s="281">
        <v>0.239999994635582</v>
      </c>
      <c r="P237" s="280" t="s">
        <v>309</v>
      </c>
      <c r="Q237" s="282">
        <v>0</v>
      </c>
      <c r="R237" s="280" t="s">
        <v>306</v>
      </c>
      <c r="S237" s="283">
        <v>2.9999999329447701E-2</v>
      </c>
      <c r="T237" s="280" t="s">
        <v>326</v>
      </c>
      <c r="U237" s="283">
        <v>0.18000000715255701</v>
      </c>
      <c r="V237" s="280" t="s">
        <v>286</v>
      </c>
      <c r="W237" s="283">
        <v>0.40999999642372098</v>
      </c>
      <c r="X237" s="280" t="s">
        <v>302</v>
      </c>
      <c r="Y237" s="283">
        <v>0</v>
      </c>
      <c r="Z237" s="280" t="s">
        <v>327</v>
      </c>
      <c r="AA237" s="283">
        <v>0</v>
      </c>
      <c r="AB237" s="284" t="s">
        <v>328</v>
      </c>
      <c r="AC237" s="285">
        <v>0</v>
      </c>
      <c r="AE237" s="277" t="str">
        <f t="shared" ca="1" si="48"/>
        <v>AIRE LIMPIO SL</v>
      </c>
      <c r="AF237" s="286">
        <f t="shared" ca="1" si="49"/>
        <v>0</v>
      </c>
    </row>
    <row r="238" spans="3:32" ht="16.5" x14ac:dyDescent="0.3">
      <c r="C238" s="277">
        <f>'4.2_Electricitat Espanya'!F35</f>
        <v>0</v>
      </c>
      <c r="D238" s="277">
        <f>'4.2_Electricitat Espanya'!G35</f>
        <v>0</v>
      </c>
      <c r="E238" s="278" t="e">
        <f t="shared" ca="1" si="46"/>
        <v>#N/A</v>
      </c>
      <c r="F238" s="277" t="str">
        <f>IF(ISNUMBER('4.2_Electricitat Espanya'!H35),('4.2_Electricitat Espanya'!H35*'4.2_Electricitat Espanya'!I35),"")</f>
        <v/>
      </c>
      <c r="G238" s="268">
        <f t="shared" si="47"/>
        <v>2</v>
      </c>
      <c r="I238" s="287"/>
      <c r="J238" s="280" t="s">
        <v>329</v>
      </c>
      <c r="K238" s="281">
        <v>0.23</v>
      </c>
      <c r="L238" s="280" t="s">
        <v>330</v>
      </c>
      <c r="M238" s="281">
        <v>0.239999994635582</v>
      </c>
      <c r="N238" s="280" t="s">
        <v>331</v>
      </c>
      <c r="O238" s="281">
        <v>0.34999999403953602</v>
      </c>
      <c r="P238" s="280" t="s">
        <v>332</v>
      </c>
      <c r="Q238" s="282">
        <v>0</v>
      </c>
      <c r="R238" s="280" t="s">
        <v>333</v>
      </c>
      <c r="S238" s="283">
        <v>1.9999999552965199E-2</v>
      </c>
      <c r="T238" s="280" t="s">
        <v>294</v>
      </c>
      <c r="U238" s="283">
        <v>0</v>
      </c>
      <c r="V238" s="280" t="s">
        <v>279</v>
      </c>
      <c r="W238" s="283">
        <v>0</v>
      </c>
      <c r="X238" s="280" t="s">
        <v>323</v>
      </c>
      <c r="Y238" s="283">
        <v>0</v>
      </c>
      <c r="Z238" s="280" t="s">
        <v>274</v>
      </c>
      <c r="AA238" s="283">
        <v>0.18000000715255701</v>
      </c>
      <c r="AB238" s="284" t="s">
        <v>291</v>
      </c>
      <c r="AC238" s="285">
        <v>0</v>
      </c>
      <c r="AE238" s="277" t="str">
        <f t="shared" ca="1" si="48"/>
        <v>ALCANZIA ENERGÍA, S.L.</v>
      </c>
      <c r="AF238" s="286">
        <f t="shared" ca="1" si="49"/>
        <v>0</v>
      </c>
    </row>
    <row r="239" spans="3:32" ht="16.5" x14ac:dyDescent="0.3">
      <c r="C239" s="277">
        <f>'4.2_Electricitat Espanya'!F36</f>
        <v>0</v>
      </c>
      <c r="D239" s="277">
        <f>'4.2_Electricitat Espanya'!G36</f>
        <v>0</v>
      </c>
      <c r="E239" s="278" t="e">
        <f t="shared" ca="1" si="46"/>
        <v>#N/A</v>
      </c>
      <c r="F239" s="277" t="str">
        <f>IF(ISNUMBER('4.2_Electricitat Espanya'!H36),('4.2_Electricitat Espanya'!H36*'4.2_Electricitat Espanya'!I36),"")</f>
        <v/>
      </c>
      <c r="G239" s="268">
        <f t="shared" si="47"/>
        <v>2</v>
      </c>
      <c r="I239" s="287"/>
      <c r="J239" s="280" t="s">
        <v>334</v>
      </c>
      <c r="K239" s="281">
        <v>0.33</v>
      </c>
      <c r="L239" s="280" t="s">
        <v>334</v>
      </c>
      <c r="M239" s="281">
        <v>0</v>
      </c>
      <c r="N239" s="280" t="s">
        <v>308</v>
      </c>
      <c r="O239" s="281">
        <v>0.230000004172325</v>
      </c>
      <c r="P239" s="280" t="s">
        <v>312</v>
      </c>
      <c r="Q239" s="282">
        <v>0.31000000238418601</v>
      </c>
      <c r="R239" s="280" t="s">
        <v>289</v>
      </c>
      <c r="S239" s="283">
        <v>0.34000000357627902</v>
      </c>
      <c r="T239" s="280" t="s">
        <v>290</v>
      </c>
      <c r="U239" s="283">
        <v>0</v>
      </c>
      <c r="V239" s="280" t="s">
        <v>335</v>
      </c>
      <c r="W239" s="283">
        <v>0</v>
      </c>
      <c r="X239" s="280" t="s">
        <v>286</v>
      </c>
      <c r="Y239" s="283">
        <v>0.28999999165535001</v>
      </c>
      <c r="Z239" s="280" t="s">
        <v>280</v>
      </c>
      <c r="AA239" s="283">
        <v>0</v>
      </c>
      <c r="AB239" s="284" t="s">
        <v>276</v>
      </c>
      <c r="AC239" s="285">
        <v>0</v>
      </c>
      <c r="AE239" s="277" t="str">
        <f t="shared" ca="1" si="48"/>
        <v>ALDRO ENERGÍA Y SOLUCIONES, S.L.U.</v>
      </c>
      <c r="AF239" s="286">
        <f t="shared" ca="1" si="49"/>
        <v>0</v>
      </c>
    </row>
    <row r="240" spans="3:32" ht="16.5" x14ac:dyDescent="0.3">
      <c r="C240" s="277">
        <f>'4.2_Electricitat Espanya'!F37</f>
        <v>0</v>
      </c>
      <c r="D240" s="277">
        <f>'4.2_Electricitat Espanya'!G37</f>
        <v>0</v>
      </c>
      <c r="E240" s="278" t="e">
        <f t="shared" ca="1" si="46"/>
        <v>#N/A</v>
      </c>
      <c r="F240" s="277" t="str">
        <f>IF(ISNUMBER('4.2_Electricitat Espanya'!H37),('4.2_Electricitat Espanya'!H37*'4.2_Electricitat Espanya'!I37),"")</f>
        <v/>
      </c>
      <c r="G240" s="268">
        <f t="shared" si="47"/>
        <v>2</v>
      </c>
      <c r="I240" s="287"/>
      <c r="J240" s="280" t="s">
        <v>336</v>
      </c>
      <c r="K240" s="281">
        <v>0.17</v>
      </c>
      <c r="L240" s="280" t="s">
        <v>336</v>
      </c>
      <c r="M240" s="281">
        <v>0.239999994635582</v>
      </c>
      <c r="N240" s="280" t="s">
        <v>311</v>
      </c>
      <c r="O240" s="281">
        <v>0.230000004172325</v>
      </c>
      <c r="P240" s="280" t="s">
        <v>303</v>
      </c>
      <c r="Q240" s="282">
        <v>0</v>
      </c>
      <c r="R240" s="280" t="s">
        <v>337</v>
      </c>
      <c r="S240" s="283">
        <v>0</v>
      </c>
      <c r="T240" s="280" t="s">
        <v>338</v>
      </c>
      <c r="U240" s="283">
        <v>0</v>
      </c>
      <c r="V240" s="280" t="s">
        <v>285</v>
      </c>
      <c r="W240" s="283">
        <v>0.109999999403954</v>
      </c>
      <c r="X240" s="280" t="s">
        <v>279</v>
      </c>
      <c r="Y240" s="283">
        <v>0</v>
      </c>
      <c r="Z240" s="280" t="s">
        <v>302</v>
      </c>
      <c r="AA240" s="283">
        <v>0</v>
      </c>
      <c r="AB240" s="284" t="s">
        <v>339</v>
      </c>
      <c r="AC240" s="285">
        <v>0</v>
      </c>
      <c r="AE240" s="277" t="str">
        <f t="shared" ca="1" si="48"/>
        <v>ALPEX IBÉRICA DE ENERGÍA, S.L.U</v>
      </c>
      <c r="AF240" s="286">
        <f t="shared" ca="1" si="49"/>
        <v>0</v>
      </c>
    </row>
    <row r="241" spans="3:32" ht="16.5" x14ac:dyDescent="0.3">
      <c r="C241" s="277">
        <f>'4.2_Electricitat Espanya'!F38</f>
        <v>0</v>
      </c>
      <c r="D241" s="277">
        <f>'4.2_Electricitat Espanya'!G38</f>
        <v>0</v>
      </c>
      <c r="E241" s="278" t="e">
        <f t="shared" ca="1" si="46"/>
        <v>#N/A</v>
      </c>
      <c r="F241" s="277" t="str">
        <f>IF(ISNUMBER('4.2_Electricitat Espanya'!H38),('4.2_Electricitat Espanya'!H38*'4.2_Electricitat Espanya'!I38),"")</f>
        <v/>
      </c>
      <c r="G241" s="268">
        <f t="shared" si="47"/>
        <v>2</v>
      </c>
      <c r="I241" s="287"/>
      <c r="J241" s="280" t="s">
        <v>340</v>
      </c>
      <c r="K241" s="281">
        <v>0.26</v>
      </c>
      <c r="L241" s="280" t="s">
        <v>341</v>
      </c>
      <c r="M241" s="281">
        <v>0.34999999403953602</v>
      </c>
      <c r="N241" s="280" t="s">
        <v>317</v>
      </c>
      <c r="O241" s="281">
        <v>0.31999999284744302</v>
      </c>
      <c r="P241" s="280" t="s">
        <v>305</v>
      </c>
      <c r="Q241" s="282">
        <v>0.270000010728836</v>
      </c>
      <c r="R241" s="280" t="s">
        <v>342</v>
      </c>
      <c r="S241" s="283">
        <v>0</v>
      </c>
      <c r="T241" s="280" t="s">
        <v>277</v>
      </c>
      <c r="U241" s="283">
        <v>5.0000000745058101E-2</v>
      </c>
      <c r="V241" s="280" t="s">
        <v>278</v>
      </c>
      <c r="W241" s="283">
        <v>0</v>
      </c>
      <c r="X241" s="280" t="s">
        <v>335</v>
      </c>
      <c r="Y241" s="283">
        <v>0</v>
      </c>
      <c r="Z241" s="280" t="s">
        <v>323</v>
      </c>
      <c r="AA241" s="283">
        <v>0</v>
      </c>
      <c r="AB241" s="284" t="s">
        <v>274</v>
      </c>
      <c r="AC241" s="285">
        <v>0.14000000000000001</v>
      </c>
      <c r="AE241" s="277" t="str">
        <f t="shared" ca="1" si="48"/>
        <v>ALPIQ ENERGÍA ESPAÑA, S.A.U.</v>
      </c>
      <c r="AF241" s="286">
        <f t="shared" ca="1" si="49"/>
        <v>0.14000000000000001</v>
      </c>
    </row>
    <row r="242" spans="3:32" ht="16.5" x14ac:dyDescent="0.3">
      <c r="C242" s="277">
        <f>'4.2_Electricitat Espanya'!F39</f>
        <v>0</v>
      </c>
      <c r="D242" s="277">
        <f>'4.2_Electricitat Espanya'!G39</f>
        <v>0</v>
      </c>
      <c r="E242" s="278" t="e">
        <f t="shared" ca="1" si="46"/>
        <v>#N/A</v>
      </c>
      <c r="F242" s="277" t="str">
        <f>IF(ISNUMBER('4.2_Electricitat Espanya'!H39),('4.2_Electricitat Espanya'!H39*'4.2_Electricitat Espanya'!I39),"")</f>
        <v/>
      </c>
      <c r="G242" s="268">
        <f t="shared" si="47"/>
        <v>2</v>
      </c>
      <c r="I242" s="287"/>
      <c r="J242" s="280" t="s">
        <v>343</v>
      </c>
      <c r="K242" s="281">
        <v>0.36</v>
      </c>
      <c r="L242" s="280" t="s">
        <v>344</v>
      </c>
      <c r="M242" s="281">
        <v>0.25</v>
      </c>
      <c r="N242" s="280" t="s">
        <v>320</v>
      </c>
      <c r="O242" s="281">
        <v>0</v>
      </c>
      <c r="P242" s="280" t="s">
        <v>331</v>
      </c>
      <c r="Q242" s="282">
        <v>0.31999999284744302</v>
      </c>
      <c r="R242" s="280" t="s">
        <v>300</v>
      </c>
      <c r="S242" s="283">
        <v>0.33000001311302202</v>
      </c>
      <c r="T242" s="280" t="s">
        <v>319</v>
      </c>
      <c r="U242" s="283">
        <v>0</v>
      </c>
      <c r="V242" s="280" t="s">
        <v>301</v>
      </c>
      <c r="W242" s="283">
        <v>0</v>
      </c>
      <c r="X242" s="280" t="s">
        <v>285</v>
      </c>
      <c r="Y242" s="283">
        <v>0.25</v>
      </c>
      <c r="Z242" s="280" t="s">
        <v>345</v>
      </c>
      <c r="AA242" s="283">
        <v>0.28000000119209301</v>
      </c>
      <c r="AB242" s="284" t="s">
        <v>346</v>
      </c>
      <c r="AC242" s="285">
        <v>0</v>
      </c>
      <c r="AE242" s="277" t="str">
        <f t="shared" ca="1" si="48"/>
        <v>ALSET COMERCIALIZADORA, S.L.</v>
      </c>
      <c r="AF242" s="286">
        <f t="shared" ca="1" si="49"/>
        <v>0</v>
      </c>
    </row>
    <row r="243" spans="3:32" ht="16.5" x14ac:dyDescent="0.3">
      <c r="C243" s="277">
        <f>'4.2_Electricitat Espanya'!F40</f>
        <v>0</v>
      </c>
      <c r="D243" s="277">
        <f>'4.2_Electricitat Espanya'!G40</f>
        <v>0</v>
      </c>
      <c r="E243" s="278" t="e">
        <f t="shared" ca="1" si="46"/>
        <v>#N/A</v>
      </c>
      <c r="F243" s="277" t="str">
        <f>IF(ISNUMBER('4.2_Electricitat Espanya'!H40),('4.2_Electricitat Espanya'!H40*'4.2_Electricitat Espanya'!I40),"")</f>
        <v/>
      </c>
      <c r="G243" s="268">
        <f t="shared" si="47"/>
        <v>2</v>
      </c>
      <c r="I243" s="287"/>
      <c r="J243" s="280" t="s">
        <v>347</v>
      </c>
      <c r="K243" s="281">
        <v>0</v>
      </c>
      <c r="L243" s="280" t="s">
        <v>343</v>
      </c>
      <c r="M243" s="281">
        <v>0.30000001192092901</v>
      </c>
      <c r="N243" s="280" t="s">
        <v>325</v>
      </c>
      <c r="O243" s="281">
        <v>0</v>
      </c>
      <c r="P243" s="280" t="s">
        <v>308</v>
      </c>
      <c r="Q243" s="282">
        <v>0.28999999165535001</v>
      </c>
      <c r="R243" s="280" t="s">
        <v>348</v>
      </c>
      <c r="S243" s="283">
        <v>0</v>
      </c>
      <c r="T243" s="280" t="s">
        <v>349</v>
      </c>
      <c r="U243" s="283">
        <v>1.9999999552965199E-2</v>
      </c>
      <c r="V243" s="280" t="s">
        <v>294</v>
      </c>
      <c r="W243" s="283">
        <v>0</v>
      </c>
      <c r="X243" s="280" t="s">
        <v>278</v>
      </c>
      <c r="Y243" s="283">
        <v>0</v>
      </c>
      <c r="Z243" s="280" t="s">
        <v>286</v>
      </c>
      <c r="AA243" s="283">
        <v>0</v>
      </c>
      <c r="AB243" s="284" t="s">
        <v>280</v>
      </c>
      <c r="AC243" s="285">
        <v>0</v>
      </c>
      <c r="AE243" s="277" t="str">
        <f t="shared" ca="1" si="48"/>
        <v>ANOTHER ENERGY OPTION, S.L.</v>
      </c>
      <c r="AF243" s="286">
        <f t="shared" ca="1" si="49"/>
        <v>0</v>
      </c>
    </row>
    <row r="244" spans="3:32" ht="16.5" x14ac:dyDescent="0.3">
      <c r="C244" s="277">
        <f>'4.2_Electricitat Espanya'!F41</f>
        <v>0</v>
      </c>
      <c r="D244" s="277">
        <f>'4.2_Electricitat Espanya'!G41</f>
        <v>0</v>
      </c>
      <c r="E244" s="278" t="e">
        <f t="shared" ca="1" si="46"/>
        <v>#N/A</v>
      </c>
      <c r="F244" s="277" t="str">
        <f>IF(ISNUMBER('4.2_Electricitat Espanya'!H41),('4.2_Electricitat Espanya'!H41*'4.2_Electricitat Espanya'!I41),"")</f>
        <v/>
      </c>
      <c r="G244" s="268">
        <f t="shared" si="47"/>
        <v>2</v>
      </c>
      <c r="J244" s="280" t="s">
        <v>350</v>
      </c>
      <c r="K244" s="281">
        <v>0</v>
      </c>
      <c r="L244" s="280" t="s">
        <v>347</v>
      </c>
      <c r="M244" s="281">
        <v>9.9999997764825804E-3</v>
      </c>
      <c r="N244" s="280" t="s">
        <v>351</v>
      </c>
      <c r="O244" s="281">
        <v>0</v>
      </c>
      <c r="P244" s="280" t="s">
        <v>311</v>
      </c>
      <c r="Q244" s="282">
        <v>0.28999999165535001</v>
      </c>
      <c r="R244" s="280" t="s">
        <v>352</v>
      </c>
      <c r="S244" s="283">
        <v>0</v>
      </c>
      <c r="T244" s="280" t="s">
        <v>353</v>
      </c>
      <c r="U244" s="283">
        <v>0</v>
      </c>
      <c r="V244" s="280" t="s">
        <v>290</v>
      </c>
      <c r="W244" s="283">
        <v>0</v>
      </c>
      <c r="X244" s="280" t="s">
        <v>301</v>
      </c>
      <c r="Y244" s="283">
        <v>0</v>
      </c>
      <c r="Z244" s="280" t="s">
        <v>279</v>
      </c>
      <c r="AA244" s="283">
        <v>0</v>
      </c>
      <c r="AB244" s="284" t="s">
        <v>302</v>
      </c>
      <c r="AC244" s="285">
        <v>0</v>
      </c>
      <c r="AE244" s="277" t="str">
        <f t="shared" ca="1" si="48"/>
        <v>AQUÍ ENERGÍA, S.L.</v>
      </c>
      <c r="AF244" s="286">
        <f t="shared" ca="1" si="49"/>
        <v>0</v>
      </c>
    </row>
    <row r="245" spans="3:32" ht="15.75" customHeight="1" x14ac:dyDescent="0.3">
      <c r="F245" s="288">
        <f>SUMIF(F223:F244,"&gt;0")</f>
        <v>0</v>
      </c>
      <c r="J245" s="280" t="s">
        <v>354</v>
      </c>
      <c r="K245" s="281">
        <v>0.33</v>
      </c>
      <c r="L245" s="280" t="s">
        <v>350</v>
      </c>
      <c r="M245" s="281">
        <v>0</v>
      </c>
      <c r="N245" s="280" t="s">
        <v>330</v>
      </c>
      <c r="O245" s="281">
        <v>0.17000000178813901</v>
      </c>
      <c r="P245" s="280" t="s">
        <v>355</v>
      </c>
      <c r="Q245" s="282">
        <v>0.34000000357627902</v>
      </c>
      <c r="R245" s="280" t="s">
        <v>356</v>
      </c>
      <c r="S245" s="283">
        <v>0.20999999344348899</v>
      </c>
      <c r="T245" s="280" t="s">
        <v>357</v>
      </c>
      <c r="U245" s="283">
        <v>0</v>
      </c>
      <c r="V245" s="280" t="s">
        <v>358</v>
      </c>
      <c r="W245" s="283">
        <v>0</v>
      </c>
      <c r="X245" s="280" t="s">
        <v>359</v>
      </c>
      <c r="Y245" s="283">
        <v>0.40000000596046498</v>
      </c>
      <c r="Z245" s="280" t="s">
        <v>335</v>
      </c>
      <c r="AA245" s="283">
        <v>0</v>
      </c>
      <c r="AB245" s="284" t="s">
        <v>360</v>
      </c>
      <c r="AC245" s="285">
        <v>0.24</v>
      </c>
      <c r="AE245" s="277" t="str">
        <f t="shared" ca="1" si="48"/>
        <v>ARACÁN ENERGÍA, S.L.</v>
      </c>
      <c r="AF245" s="286">
        <f t="shared" ca="1" si="49"/>
        <v>0.24</v>
      </c>
    </row>
    <row r="246" spans="3:32" ht="16.5" x14ac:dyDescent="0.3">
      <c r="J246" s="289" t="s">
        <v>361</v>
      </c>
      <c r="K246" s="281">
        <v>0.36</v>
      </c>
      <c r="L246" s="280" t="s">
        <v>354</v>
      </c>
      <c r="M246" s="281">
        <v>0.38999998569488498</v>
      </c>
      <c r="N246" s="280" t="s">
        <v>362</v>
      </c>
      <c r="O246" s="281">
        <v>0.140000000596046</v>
      </c>
      <c r="P246" s="280" t="s">
        <v>320</v>
      </c>
      <c r="Q246" s="282">
        <v>0</v>
      </c>
      <c r="R246" s="280" t="s">
        <v>363</v>
      </c>
      <c r="S246" s="283">
        <v>0</v>
      </c>
      <c r="T246" s="280" t="s">
        <v>364</v>
      </c>
      <c r="U246" s="283">
        <v>0</v>
      </c>
      <c r="V246" s="280" t="s">
        <v>365</v>
      </c>
      <c r="W246" s="283">
        <v>0</v>
      </c>
      <c r="X246" s="280" t="s">
        <v>326</v>
      </c>
      <c r="Y246" s="283">
        <v>0.37999999523162797</v>
      </c>
      <c r="Z246" s="280" t="s">
        <v>285</v>
      </c>
      <c r="AA246" s="283">
        <v>0.18999999761581399</v>
      </c>
      <c r="AB246" s="284" t="s">
        <v>366</v>
      </c>
      <c r="AC246" s="285">
        <v>0.25</v>
      </c>
      <c r="AE246" s="277" t="str">
        <f t="shared" ca="1" si="48"/>
        <v>ARSUS ENERGÍA, S.L</v>
      </c>
      <c r="AF246" s="286">
        <f t="shared" ca="1" si="49"/>
        <v>0.25</v>
      </c>
    </row>
    <row r="247" spans="3:32" ht="17.25" customHeight="1" x14ac:dyDescent="0.3">
      <c r="C247" s="290" t="s">
        <v>367</v>
      </c>
      <c r="J247" s="289" t="s">
        <v>368</v>
      </c>
      <c r="K247" s="281">
        <v>0.36</v>
      </c>
      <c r="L247" s="280" t="s">
        <v>369</v>
      </c>
      <c r="M247" s="281">
        <v>0</v>
      </c>
      <c r="N247" s="280" t="s">
        <v>334</v>
      </c>
      <c r="O247" s="281">
        <v>0</v>
      </c>
      <c r="P247" s="280" t="s">
        <v>325</v>
      </c>
      <c r="Q247" s="282">
        <v>0</v>
      </c>
      <c r="R247" s="280" t="s">
        <v>296</v>
      </c>
      <c r="S247" s="283">
        <v>0</v>
      </c>
      <c r="T247" s="280" t="s">
        <v>370</v>
      </c>
      <c r="U247" s="283">
        <v>0</v>
      </c>
      <c r="V247" s="280" t="s">
        <v>277</v>
      </c>
      <c r="W247" s="283">
        <v>0</v>
      </c>
      <c r="X247" s="291" t="s">
        <v>1029</v>
      </c>
      <c r="Y247" s="283">
        <v>0</v>
      </c>
      <c r="Z247" s="280" t="s">
        <v>278</v>
      </c>
      <c r="AA247" s="283">
        <v>0</v>
      </c>
      <c r="AB247" s="284" t="s">
        <v>323</v>
      </c>
      <c r="AC247" s="285">
        <v>0</v>
      </c>
      <c r="AE247" s="277" t="str">
        <f t="shared" ca="1" si="48"/>
        <v xml:space="preserve">ASAL DE ENERGÍA, S.L. </v>
      </c>
      <c r="AF247" s="286">
        <f t="shared" ca="1" si="49"/>
        <v>0</v>
      </c>
    </row>
    <row r="248" spans="3:32" ht="16.5" x14ac:dyDescent="0.3">
      <c r="C248" s="292" t="s">
        <v>941</v>
      </c>
      <c r="D248" s="292">
        <v>0</v>
      </c>
      <c r="J248" s="287"/>
      <c r="K248" s="287"/>
      <c r="L248" s="289" t="s">
        <v>361</v>
      </c>
      <c r="M248" s="281">
        <v>0.4</v>
      </c>
      <c r="N248" s="280" t="s">
        <v>336</v>
      </c>
      <c r="O248" s="281">
        <v>0.15999999642372101</v>
      </c>
      <c r="P248" s="280" t="s">
        <v>351</v>
      </c>
      <c r="Q248" s="282">
        <v>0</v>
      </c>
      <c r="R248" s="280" t="s">
        <v>299</v>
      </c>
      <c r="S248" s="283">
        <v>0.37999999523162797</v>
      </c>
      <c r="T248" s="280" t="s">
        <v>306</v>
      </c>
      <c r="U248" s="283">
        <v>0</v>
      </c>
      <c r="V248" s="280" t="s">
        <v>319</v>
      </c>
      <c r="W248" s="283">
        <v>0</v>
      </c>
      <c r="X248" s="280" t="s">
        <v>294</v>
      </c>
      <c r="Y248" s="283">
        <v>0</v>
      </c>
      <c r="Z248" s="280" t="s">
        <v>301</v>
      </c>
      <c r="AA248" s="283">
        <v>0</v>
      </c>
      <c r="AB248" s="284" t="s">
        <v>371</v>
      </c>
      <c r="AC248" s="285">
        <v>0</v>
      </c>
      <c r="AE248" s="277" t="str">
        <f t="shared" ca="1" si="48"/>
        <v>ATENCO ENERGÍA SL</v>
      </c>
      <c r="AF248" s="286">
        <f t="shared" ca="1" si="49"/>
        <v>0</v>
      </c>
    </row>
    <row r="249" spans="3:32" ht="17.25" customHeight="1" x14ac:dyDescent="0.3">
      <c r="C249" s="292" t="s">
        <v>942</v>
      </c>
      <c r="D249" s="292">
        <v>0.16</v>
      </c>
      <c r="E249" s="387"/>
      <c r="J249" s="287"/>
      <c r="K249" s="287"/>
      <c r="L249" s="289" t="s">
        <v>368</v>
      </c>
      <c r="M249" s="281">
        <v>0.4</v>
      </c>
      <c r="N249" s="280" t="s">
        <v>341</v>
      </c>
      <c r="O249" s="281">
        <v>0</v>
      </c>
      <c r="P249" s="280" t="s">
        <v>330</v>
      </c>
      <c r="Q249" s="282">
        <v>0.18999999761581399</v>
      </c>
      <c r="R249" s="280" t="s">
        <v>312</v>
      </c>
      <c r="S249" s="283">
        <v>0.33000001311302202</v>
      </c>
      <c r="T249" s="280" t="s">
        <v>372</v>
      </c>
      <c r="U249" s="283">
        <v>0.36000001430511502</v>
      </c>
      <c r="V249" s="280" t="s">
        <v>353</v>
      </c>
      <c r="W249" s="283">
        <v>0</v>
      </c>
      <c r="X249" s="280" t="s">
        <v>373</v>
      </c>
      <c r="Y249" s="283">
        <v>0</v>
      </c>
      <c r="Z249" s="280" t="s">
        <v>374</v>
      </c>
      <c r="AA249" s="283">
        <v>0</v>
      </c>
      <c r="AB249" s="284" t="s">
        <v>345</v>
      </c>
      <c r="AC249" s="285">
        <v>0.21</v>
      </c>
      <c r="AE249" s="277" t="str">
        <f t="shared" ca="1" si="48"/>
        <v>ATLAS ENERGÍA COMERCIAL, S.L.</v>
      </c>
      <c r="AF249" s="286">
        <f t="shared" ca="1" si="49"/>
        <v>0.21</v>
      </c>
    </row>
    <row r="250" spans="3:32" ht="16.5" x14ac:dyDescent="0.3">
      <c r="C250" s="292" t="s">
        <v>21</v>
      </c>
      <c r="D250" s="292" t="s">
        <v>106</v>
      </c>
      <c r="J250" s="287"/>
      <c r="K250" s="287"/>
      <c r="L250" s="287"/>
      <c r="M250" s="287"/>
      <c r="N250" s="280" t="s">
        <v>344</v>
      </c>
      <c r="O250" s="281">
        <v>0.20999999344348899</v>
      </c>
      <c r="P250" s="280" t="s">
        <v>362</v>
      </c>
      <c r="Q250" s="282">
        <v>0.140000000596046</v>
      </c>
      <c r="R250" s="280" t="s">
        <v>375</v>
      </c>
      <c r="S250" s="283">
        <v>0.40000000596046498</v>
      </c>
      <c r="T250" s="280" t="s">
        <v>333</v>
      </c>
      <c r="U250" s="283">
        <v>0</v>
      </c>
      <c r="V250" s="280" t="s">
        <v>357</v>
      </c>
      <c r="W250" s="283">
        <v>0</v>
      </c>
      <c r="X250" s="280" t="s">
        <v>290</v>
      </c>
      <c r="Y250" s="283">
        <v>0</v>
      </c>
      <c r="Z250" s="280" t="s">
        <v>376</v>
      </c>
      <c r="AA250" s="283">
        <v>0.28999999165535001</v>
      </c>
      <c r="AB250" s="284" t="s">
        <v>286</v>
      </c>
      <c r="AC250" s="285">
        <v>0</v>
      </c>
      <c r="AE250" s="277" t="str">
        <f t="shared" ca="1" si="48"/>
        <v>AUDAX ENERGÍA, S.L.U.</v>
      </c>
      <c r="AF250" s="286">
        <f t="shared" ca="1" si="49"/>
        <v>0</v>
      </c>
    </row>
    <row r="251" spans="3:32" ht="16.5" x14ac:dyDescent="0.3">
      <c r="J251" s="287"/>
      <c r="K251" s="287"/>
      <c r="L251" s="287"/>
      <c r="M251" s="287"/>
      <c r="N251" s="280" t="s">
        <v>343</v>
      </c>
      <c r="O251" s="281">
        <v>0.119999997317791</v>
      </c>
      <c r="P251" s="280" t="s">
        <v>334</v>
      </c>
      <c r="Q251" s="282">
        <v>0</v>
      </c>
      <c r="R251" s="280" t="s">
        <v>377</v>
      </c>
      <c r="S251" s="283">
        <v>0</v>
      </c>
      <c r="T251" s="280" t="s">
        <v>378</v>
      </c>
      <c r="U251" s="283">
        <v>0</v>
      </c>
      <c r="V251" s="280" t="s">
        <v>364</v>
      </c>
      <c r="W251" s="283">
        <v>0</v>
      </c>
      <c r="X251" s="280" t="s">
        <v>30</v>
      </c>
      <c r="Y251" s="283">
        <v>0</v>
      </c>
      <c r="Z251" s="280" t="s">
        <v>379</v>
      </c>
      <c r="AA251" s="283">
        <v>0</v>
      </c>
      <c r="AB251" s="284" t="s">
        <v>279</v>
      </c>
      <c r="AC251" s="285">
        <v>0</v>
      </c>
      <c r="AE251" s="277" t="str">
        <f t="shared" ca="1" si="48"/>
        <v>AURA ENERGÍA, S.L.</v>
      </c>
      <c r="AF251" s="286">
        <f t="shared" ca="1" si="49"/>
        <v>0</v>
      </c>
    </row>
    <row r="252" spans="3:32" ht="16.5" x14ac:dyDescent="0.3">
      <c r="J252" s="287"/>
      <c r="K252" s="287"/>
      <c r="L252" s="287"/>
      <c r="M252" s="287"/>
      <c r="N252" s="280" t="s">
        <v>347</v>
      </c>
      <c r="O252" s="281">
        <v>0</v>
      </c>
      <c r="P252" s="280" t="s">
        <v>380</v>
      </c>
      <c r="Q252" s="282">
        <v>0.119999997317791</v>
      </c>
      <c r="R252" s="280" t="s">
        <v>381</v>
      </c>
      <c r="S252" s="283">
        <v>9.9999997764825804E-3</v>
      </c>
      <c r="T252" s="280" t="s">
        <v>382</v>
      </c>
      <c r="U252" s="283">
        <v>0.239999994635582</v>
      </c>
      <c r="V252" s="280" t="s">
        <v>370</v>
      </c>
      <c r="W252" s="283">
        <v>0</v>
      </c>
      <c r="X252" s="280" t="s">
        <v>383</v>
      </c>
      <c r="Y252" s="283">
        <v>0</v>
      </c>
      <c r="Z252" s="280" t="s">
        <v>359</v>
      </c>
      <c r="AA252" s="283">
        <v>0</v>
      </c>
      <c r="AB252" s="284" t="s">
        <v>335</v>
      </c>
      <c r="AC252" s="285">
        <v>0</v>
      </c>
      <c r="AE252" s="277" t="str">
        <f t="shared" ca="1" si="48"/>
        <v>AUSARTA PRIMA, S.L.</v>
      </c>
      <c r="AF252" s="286">
        <f t="shared" ca="1" si="49"/>
        <v>0</v>
      </c>
    </row>
    <row r="253" spans="3:32" ht="16.5" x14ac:dyDescent="0.3">
      <c r="J253" s="287"/>
      <c r="K253" s="287"/>
      <c r="L253" s="287"/>
      <c r="M253" s="287"/>
      <c r="N253" s="280" t="s">
        <v>384</v>
      </c>
      <c r="O253" s="281">
        <v>0.34000000357627902</v>
      </c>
      <c r="P253" s="280" t="s">
        <v>341</v>
      </c>
      <c r="Q253" s="282">
        <v>3.9999999105930301E-2</v>
      </c>
      <c r="R253" s="280" t="s">
        <v>303</v>
      </c>
      <c r="S253" s="283">
        <v>0</v>
      </c>
      <c r="T253" s="280" t="s">
        <v>385</v>
      </c>
      <c r="U253" s="283">
        <v>0.239999994635582</v>
      </c>
      <c r="V253" s="280" t="s">
        <v>386</v>
      </c>
      <c r="W253" s="283">
        <v>0</v>
      </c>
      <c r="X253" s="280" t="s">
        <v>387</v>
      </c>
      <c r="Y253" s="283">
        <v>0</v>
      </c>
      <c r="Z253" s="280" t="s">
        <v>1029</v>
      </c>
      <c r="AA253" s="283">
        <v>0</v>
      </c>
      <c r="AB253" s="284" t="s">
        <v>285</v>
      </c>
      <c r="AC253" s="285">
        <v>0.2</v>
      </c>
      <c r="AE253" s="277" t="str">
        <f t="shared" ca="1" si="48"/>
        <v>AVANZALIA ENERGÍA COMERCIALIZADORA, S.A.</v>
      </c>
      <c r="AF253" s="286">
        <f t="shared" ca="1" si="49"/>
        <v>0.2</v>
      </c>
    </row>
    <row r="254" spans="3:32" ht="16.5" x14ac:dyDescent="0.3">
      <c r="J254" s="287"/>
      <c r="K254" s="287"/>
      <c r="L254" s="287"/>
      <c r="M254" s="287"/>
      <c r="N254" s="280" t="s">
        <v>350</v>
      </c>
      <c r="O254" s="281">
        <v>0</v>
      </c>
      <c r="P254" s="280" t="s">
        <v>344</v>
      </c>
      <c r="Q254" s="282">
        <v>0.20000000298023199</v>
      </c>
      <c r="R254" s="280" t="s">
        <v>305</v>
      </c>
      <c r="S254" s="283">
        <v>0.31000000238418601</v>
      </c>
      <c r="T254" s="280" t="s">
        <v>388</v>
      </c>
      <c r="U254" s="283">
        <v>0</v>
      </c>
      <c r="V254" s="280" t="s">
        <v>389</v>
      </c>
      <c r="W254" s="283">
        <v>0</v>
      </c>
      <c r="X254" s="280" t="s">
        <v>365</v>
      </c>
      <c r="Y254" s="283">
        <v>0</v>
      </c>
      <c r="Z254" s="280" t="s">
        <v>294</v>
      </c>
      <c r="AA254" s="283">
        <v>0</v>
      </c>
      <c r="AB254" s="284" t="s">
        <v>278</v>
      </c>
      <c r="AC254" s="285">
        <v>0</v>
      </c>
      <c r="AE254" s="277" t="str">
        <f t="shared" ca="1" si="48"/>
        <v>AXPO IBERIA, S.L.</v>
      </c>
      <c r="AF254" s="286">
        <f t="shared" ca="1" si="49"/>
        <v>0</v>
      </c>
    </row>
    <row r="255" spans="3:32" ht="16.5" x14ac:dyDescent="0.3">
      <c r="J255" s="287"/>
      <c r="K255" s="287"/>
      <c r="L255" s="287"/>
      <c r="M255" s="287"/>
      <c r="N255" s="280" t="s">
        <v>390</v>
      </c>
      <c r="O255" s="281">
        <v>0</v>
      </c>
      <c r="P255" s="280" t="s">
        <v>343</v>
      </c>
      <c r="Q255" s="282">
        <v>0.129999995231628</v>
      </c>
      <c r="R255" s="280" t="s">
        <v>331</v>
      </c>
      <c r="S255" s="283">
        <v>0.36000001430511502</v>
      </c>
      <c r="T255" s="280" t="s">
        <v>391</v>
      </c>
      <c r="U255" s="283">
        <v>0</v>
      </c>
      <c r="V255" s="280" t="s">
        <v>306</v>
      </c>
      <c r="W255" s="283">
        <v>0</v>
      </c>
      <c r="X255" s="280" t="s">
        <v>277</v>
      </c>
      <c r="Y255" s="283">
        <v>0</v>
      </c>
      <c r="Z255" s="280" t="s">
        <v>297</v>
      </c>
      <c r="AA255" s="283">
        <v>0.31000000238418601</v>
      </c>
      <c r="AB255" s="284" t="s">
        <v>301</v>
      </c>
      <c r="AC255" s="285">
        <v>0</v>
      </c>
      <c r="AE255" s="277" t="str">
        <f t="shared" ca="1" si="48"/>
        <v>BASSOLS ENERGÍA COMERCIAL, S.L.</v>
      </c>
      <c r="AF255" s="286">
        <f t="shared" ca="1" si="49"/>
        <v>0</v>
      </c>
    </row>
    <row r="256" spans="3:32" ht="16.5" x14ac:dyDescent="0.3">
      <c r="J256" s="287"/>
      <c r="K256" s="287"/>
      <c r="L256" s="287"/>
      <c r="M256" s="287"/>
      <c r="N256" s="280" t="s">
        <v>354</v>
      </c>
      <c r="O256" s="281">
        <v>0.36000001430511502</v>
      </c>
      <c r="P256" s="280" t="s">
        <v>347</v>
      </c>
      <c r="Q256" s="282">
        <v>0</v>
      </c>
      <c r="R256" s="280" t="s">
        <v>308</v>
      </c>
      <c r="S256" s="283">
        <v>0.34999999403953602</v>
      </c>
      <c r="T256" s="280" t="s">
        <v>392</v>
      </c>
      <c r="U256" s="283">
        <v>0</v>
      </c>
      <c r="V256" s="280" t="s">
        <v>372</v>
      </c>
      <c r="W256" s="283">
        <v>0</v>
      </c>
      <c r="X256" s="280" t="s">
        <v>319</v>
      </c>
      <c r="Y256" s="283">
        <v>0</v>
      </c>
      <c r="Z256" s="280" t="s">
        <v>290</v>
      </c>
      <c r="AA256" s="283">
        <v>0</v>
      </c>
      <c r="AB256" s="284" t="s">
        <v>374</v>
      </c>
      <c r="AC256" s="285">
        <v>0</v>
      </c>
      <c r="AE256" s="277" t="str">
        <f t="shared" ca="1" si="48"/>
        <v>BEYOND SUN SL</v>
      </c>
      <c r="AF256" s="286">
        <f t="shared" ca="1" si="49"/>
        <v>0</v>
      </c>
    </row>
    <row r="257" spans="10:32" ht="16.5" x14ac:dyDescent="0.3">
      <c r="J257" s="287"/>
      <c r="K257" s="287"/>
      <c r="L257" s="287"/>
      <c r="M257" s="287"/>
      <c r="N257" s="280" t="s">
        <v>369</v>
      </c>
      <c r="O257" s="281">
        <v>0</v>
      </c>
      <c r="P257" s="280" t="s">
        <v>384</v>
      </c>
      <c r="Q257" s="282">
        <v>0.34000000357627902</v>
      </c>
      <c r="R257" s="280" t="s">
        <v>311</v>
      </c>
      <c r="S257" s="283">
        <v>0.36000001430511502</v>
      </c>
      <c r="T257" s="280" t="s">
        <v>393</v>
      </c>
      <c r="U257" s="283">
        <v>0</v>
      </c>
      <c r="V257" s="280" t="s">
        <v>394</v>
      </c>
      <c r="W257" s="283">
        <v>0</v>
      </c>
      <c r="X257" s="280" t="s">
        <v>321</v>
      </c>
      <c r="Y257" s="283">
        <v>0</v>
      </c>
      <c r="Z257" s="280" t="s">
        <v>30</v>
      </c>
      <c r="AA257" s="283">
        <v>0</v>
      </c>
      <c r="AB257" s="284" t="s">
        <v>395</v>
      </c>
      <c r="AC257" s="285">
        <v>0.24</v>
      </c>
      <c r="AE257" s="277" t="str">
        <f t="shared" ca="1" si="48"/>
        <v>BIROU GAS S.L.</v>
      </c>
      <c r="AF257" s="286">
        <f t="shared" ca="1" si="49"/>
        <v>0.24</v>
      </c>
    </row>
    <row r="258" spans="10:32" ht="16.5" x14ac:dyDescent="0.3">
      <c r="N258" s="289" t="s">
        <v>361</v>
      </c>
      <c r="O258" s="281">
        <v>0.36</v>
      </c>
      <c r="P258" s="280" t="s">
        <v>396</v>
      </c>
      <c r="Q258" s="282">
        <v>0.37000000476837203</v>
      </c>
      <c r="R258" s="280" t="s">
        <v>355</v>
      </c>
      <c r="S258" s="283">
        <v>0.34999999403953602</v>
      </c>
      <c r="T258" s="280" t="s">
        <v>397</v>
      </c>
      <c r="U258" s="283">
        <v>2.9999999329447701E-2</v>
      </c>
      <c r="V258" s="280" t="s">
        <v>333</v>
      </c>
      <c r="W258" s="283">
        <v>0.259999990463257</v>
      </c>
      <c r="X258" s="280" t="s">
        <v>357</v>
      </c>
      <c r="Y258" s="283">
        <v>0</v>
      </c>
      <c r="Z258" s="280" t="s">
        <v>387</v>
      </c>
      <c r="AA258" s="283">
        <v>0</v>
      </c>
      <c r="AB258" s="284" t="s">
        <v>398</v>
      </c>
      <c r="AC258" s="285">
        <v>0</v>
      </c>
      <c r="AE258" s="277" t="str">
        <f t="shared" ca="1" si="48"/>
        <v>BON PREU, SAU</v>
      </c>
      <c r="AF258" s="286">
        <f t="shared" ca="1" si="49"/>
        <v>0</v>
      </c>
    </row>
    <row r="259" spans="10:32" ht="16.5" x14ac:dyDescent="0.3">
      <c r="N259" s="289" t="s">
        <v>368</v>
      </c>
      <c r="O259" s="281">
        <v>0.36</v>
      </c>
      <c r="P259" s="280" t="s">
        <v>350</v>
      </c>
      <c r="Q259" s="282">
        <v>0</v>
      </c>
      <c r="R259" s="280" t="s">
        <v>320</v>
      </c>
      <c r="S259" s="283">
        <v>0.140000000596046</v>
      </c>
      <c r="T259" s="280" t="s">
        <v>399</v>
      </c>
      <c r="U259" s="283">
        <v>0</v>
      </c>
      <c r="V259" s="280" t="s">
        <v>378</v>
      </c>
      <c r="W259" s="283">
        <v>1.9999999552965199E-2</v>
      </c>
      <c r="X259" s="280" t="s">
        <v>364</v>
      </c>
      <c r="Y259" s="283">
        <v>0</v>
      </c>
      <c r="Z259" s="280" t="s">
        <v>400</v>
      </c>
      <c r="AA259" s="283">
        <v>0.31000000238418601</v>
      </c>
      <c r="AB259" s="284" t="s">
        <v>401</v>
      </c>
      <c r="AC259" s="285">
        <v>0</v>
      </c>
      <c r="AE259" s="277" t="str">
        <f t="shared" ca="1" si="48"/>
        <v>BULB ENERGÍA IBÉRICA SL</v>
      </c>
      <c r="AF259" s="286">
        <f t="shared" ca="1" si="49"/>
        <v>0</v>
      </c>
    </row>
    <row r="260" spans="10:32" ht="16.5" x14ac:dyDescent="0.3">
      <c r="P260" s="280" t="s">
        <v>402</v>
      </c>
      <c r="Q260" s="282">
        <v>0</v>
      </c>
      <c r="R260" s="280" t="s">
        <v>325</v>
      </c>
      <c r="S260" s="283">
        <v>0</v>
      </c>
      <c r="T260" s="280" t="s">
        <v>403</v>
      </c>
      <c r="U260" s="283">
        <v>0</v>
      </c>
      <c r="V260" s="280" t="s">
        <v>404</v>
      </c>
      <c r="W260" s="283">
        <v>0</v>
      </c>
      <c r="X260" s="280" t="s">
        <v>370</v>
      </c>
      <c r="Y260" s="283">
        <v>0</v>
      </c>
      <c r="Z260" s="280" t="s">
        <v>365</v>
      </c>
      <c r="AA260" s="283">
        <v>7.0000000298023196E-2</v>
      </c>
      <c r="AB260" s="284" t="s">
        <v>405</v>
      </c>
      <c r="AC260" s="285">
        <v>0</v>
      </c>
      <c r="AE260" s="277" t="str">
        <f t="shared" ca="1" si="48"/>
        <v>BY ENERGYC ENERGÍA EFICIENTE, S.L.</v>
      </c>
      <c r="AF260" s="286">
        <f t="shared" ca="1" si="49"/>
        <v>0</v>
      </c>
    </row>
    <row r="261" spans="10:32" ht="16.5" x14ac:dyDescent="0.3">
      <c r="P261" s="280" t="s">
        <v>406</v>
      </c>
      <c r="Q261" s="282">
        <v>0</v>
      </c>
      <c r="R261" s="280" t="s">
        <v>407</v>
      </c>
      <c r="S261" s="283">
        <v>0</v>
      </c>
      <c r="T261" s="280" t="s">
        <v>408</v>
      </c>
      <c r="U261" s="283">
        <v>0</v>
      </c>
      <c r="V261" s="280" t="s">
        <v>382</v>
      </c>
      <c r="W261" s="283">
        <v>0.259999990463257</v>
      </c>
      <c r="X261" s="280" t="s">
        <v>386</v>
      </c>
      <c r="Y261" s="283">
        <v>0</v>
      </c>
      <c r="Z261" s="280" t="s">
        <v>409</v>
      </c>
      <c r="AA261" s="283">
        <v>0</v>
      </c>
      <c r="AB261" s="284" t="s">
        <v>359</v>
      </c>
      <c r="AC261" s="285">
        <v>0</v>
      </c>
      <c r="AE261" s="277" t="str">
        <f t="shared" ca="1" si="48"/>
        <v>CATGAS ENERGÍA, S.A.</v>
      </c>
      <c r="AF261" s="286">
        <f t="shared" ca="1" si="49"/>
        <v>0</v>
      </c>
    </row>
    <row r="262" spans="10:32" ht="13.5" customHeight="1" x14ac:dyDescent="0.3">
      <c r="P262" s="280" t="s">
        <v>410</v>
      </c>
      <c r="Q262" s="282">
        <v>1.9999999552965199E-2</v>
      </c>
      <c r="R262" s="280" t="s">
        <v>351</v>
      </c>
      <c r="S262" s="283">
        <v>9.9999997764825804E-3</v>
      </c>
      <c r="T262" s="280" t="s">
        <v>411</v>
      </c>
      <c r="U262" s="283">
        <v>0</v>
      </c>
      <c r="V262" s="280" t="s">
        <v>412</v>
      </c>
      <c r="W262" s="283">
        <v>0.25</v>
      </c>
      <c r="X262" s="280" t="s">
        <v>389</v>
      </c>
      <c r="Y262" s="283">
        <v>0</v>
      </c>
      <c r="Z262" s="280" t="s">
        <v>277</v>
      </c>
      <c r="AA262" s="283">
        <v>9.9999997764825804E-3</v>
      </c>
      <c r="AB262" s="293" t="s">
        <v>1029</v>
      </c>
      <c r="AC262" s="285">
        <v>0</v>
      </c>
      <c r="AE262" s="277" t="str">
        <f t="shared" ca="1" si="48"/>
        <v>CEPSA COMERCIAL PETRÓLEO, S.A.U.</v>
      </c>
      <c r="AF262" s="286">
        <f t="shared" ca="1" si="49"/>
        <v>0</v>
      </c>
    </row>
    <row r="263" spans="10:32" ht="16.5" x14ac:dyDescent="0.3">
      <c r="P263" s="280" t="s">
        <v>369</v>
      </c>
      <c r="Q263" s="282">
        <v>0.15999999642372101</v>
      </c>
      <c r="R263" s="280" t="s">
        <v>330</v>
      </c>
      <c r="S263" s="283">
        <v>0.230000004172325</v>
      </c>
      <c r="T263" s="280" t="s">
        <v>413</v>
      </c>
      <c r="U263" s="283">
        <v>0</v>
      </c>
      <c r="V263" s="280" t="s">
        <v>388</v>
      </c>
      <c r="W263" s="283">
        <v>0</v>
      </c>
      <c r="X263" s="280" t="s">
        <v>306</v>
      </c>
      <c r="Y263" s="283">
        <v>9.9999997764825804E-3</v>
      </c>
      <c r="Z263" s="280" t="s">
        <v>319</v>
      </c>
      <c r="AA263" s="283">
        <v>0</v>
      </c>
      <c r="AB263" s="284" t="s">
        <v>294</v>
      </c>
      <c r="AC263" s="285">
        <v>0</v>
      </c>
      <c r="AE263" s="277" t="str">
        <f t="shared" ca="1" si="48"/>
        <v>CEPSA GAS Y ELECTRICIDAD, S.A.</v>
      </c>
      <c r="AF263" s="286">
        <f t="shared" ca="1" si="49"/>
        <v>0</v>
      </c>
    </row>
    <row r="264" spans="10:32" ht="16.5" x14ac:dyDescent="0.3">
      <c r="P264" s="289" t="s">
        <v>361</v>
      </c>
      <c r="Q264" s="282">
        <v>0.37</v>
      </c>
      <c r="R264" s="280" t="s">
        <v>362</v>
      </c>
      <c r="S264" s="283">
        <v>0.30000001192092901</v>
      </c>
      <c r="T264" s="280" t="s">
        <v>414</v>
      </c>
      <c r="U264" s="283">
        <v>0</v>
      </c>
      <c r="V264" s="280" t="s">
        <v>415</v>
      </c>
      <c r="W264" s="283">
        <v>0</v>
      </c>
      <c r="X264" s="280" t="s">
        <v>372</v>
      </c>
      <c r="Y264" s="283">
        <v>0</v>
      </c>
      <c r="Z264" s="280" t="s">
        <v>357</v>
      </c>
      <c r="AA264" s="283">
        <v>0</v>
      </c>
      <c r="AB264" s="284" t="s">
        <v>373</v>
      </c>
      <c r="AC264" s="285">
        <v>0.25</v>
      </c>
      <c r="AE264" s="277" t="str">
        <f t="shared" ca="1" si="48"/>
        <v>CHITAHI ENERGY, S.L.</v>
      </c>
      <c r="AF264" s="286">
        <f t="shared" ca="1" si="49"/>
        <v>0.25</v>
      </c>
    </row>
    <row r="265" spans="10:32" ht="16.5" x14ac:dyDescent="0.3">
      <c r="P265" s="289" t="s">
        <v>368</v>
      </c>
      <c r="Q265" s="282">
        <v>0.37</v>
      </c>
      <c r="R265" s="280" t="s">
        <v>334</v>
      </c>
      <c r="S265" s="283">
        <v>0</v>
      </c>
      <c r="T265" s="280" t="s">
        <v>348</v>
      </c>
      <c r="U265" s="283">
        <v>0</v>
      </c>
      <c r="V265" s="280" t="s">
        <v>391</v>
      </c>
      <c r="W265" s="283">
        <v>0</v>
      </c>
      <c r="X265" s="280" t="s">
        <v>416</v>
      </c>
      <c r="Y265" s="283">
        <v>0</v>
      </c>
      <c r="Z265" s="280" t="s">
        <v>364</v>
      </c>
      <c r="AA265" s="283">
        <v>9.9999997764825804E-3</v>
      </c>
      <c r="AB265" s="284" t="s">
        <v>297</v>
      </c>
      <c r="AC265" s="285">
        <v>0.25</v>
      </c>
      <c r="AE265" s="277" t="str">
        <f t="shared" ca="1" si="48"/>
        <v>CIDE HCENERGÍA S.A.</v>
      </c>
      <c r="AF265" s="286">
        <f t="shared" ca="1" si="49"/>
        <v>0.25</v>
      </c>
    </row>
    <row r="266" spans="10:32" ht="16.5" x14ac:dyDescent="0.3">
      <c r="R266" s="280" t="s">
        <v>380</v>
      </c>
      <c r="S266" s="283">
        <v>0.20999999344348899</v>
      </c>
      <c r="T266" s="280" t="s">
        <v>352</v>
      </c>
      <c r="U266" s="283">
        <v>0</v>
      </c>
      <c r="V266" s="280" t="s">
        <v>392</v>
      </c>
      <c r="W266" s="283">
        <v>0</v>
      </c>
      <c r="X266" s="280" t="s">
        <v>333</v>
      </c>
      <c r="Y266" s="283">
        <v>0.40000000596046498</v>
      </c>
      <c r="Z266" s="280" t="s">
        <v>321</v>
      </c>
      <c r="AA266" s="283">
        <v>0</v>
      </c>
      <c r="AB266" s="284" t="s">
        <v>30</v>
      </c>
      <c r="AC266" s="285">
        <v>0</v>
      </c>
      <c r="AE266" s="277" t="str">
        <f t="shared" ca="1" si="48"/>
        <v>COMERCIALIZADORA DE ELECTRICIDAD Y GAS DEL MEDITERRÁNEO, S.L.</v>
      </c>
      <c r="AF266" s="286">
        <f t="shared" ca="1" si="49"/>
        <v>0</v>
      </c>
    </row>
    <row r="267" spans="10:32" ht="16.5" x14ac:dyDescent="0.3">
      <c r="R267" s="280" t="s">
        <v>417</v>
      </c>
      <c r="S267" s="283">
        <v>0.10000000149011599</v>
      </c>
      <c r="T267" s="280" t="s">
        <v>356</v>
      </c>
      <c r="U267" s="283">
        <v>3.9999999105930301E-2</v>
      </c>
      <c r="V267" s="280" t="s">
        <v>397</v>
      </c>
      <c r="W267" s="283">
        <v>0</v>
      </c>
      <c r="X267" s="280" t="s">
        <v>378</v>
      </c>
      <c r="Y267" s="283">
        <v>0</v>
      </c>
      <c r="Z267" s="280" t="s">
        <v>370</v>
      </c>
      <c r="AA267" s="283">
        <v>0</v>
      </c>
      <c r="AB267" s="284" t="s">
        <v>383</v>
      </c>
      <c r="AC267" s="285">
        <v>0</v>
      </c>
      <c r="AE267" s="277" t="str">
        <f t="shared" ca="1" si="48"/>
        <v>COMERCIALIZADORA DE ENERGÍA DIRECTA, S.L.</v>
      </c>
      <c r="AF267" s="286">
        <f t="shared" ca="1" si="49"/>
        <v>0</v>
      </c>
    </row>
    <row r="268" spans="10:32" ht="16.5" x14ac:dyDescent="0.3">
      <c r="R268" s="280" t="s">
        <v>418</v>
      </c>
      <c r="S268" s="283">
        <v>0</v>
      </c>
      <c r="T268" s="280" t="s">
        <v>419</v>
      </c>
      <c r="U268" s="283">
        <v>0</v>
      </c>
      <c r="V268" s="280" t="s">
        <v>399</v>
      </c>
      <c r="W268" s="283">
        <v>0</v>
      </c>
      <c r="X268" s="280" t="s">
        <v>420</v>
      </c>
      <c r="Y268" s="283">
        <v>0.40000000596046498</v>
      </c>
      <c r="Z268" s="280" t="s">
        <v>386</v>
      </c>
      <c r="AA268" s="283">
        <v>0</v>
      </c>
      <c r="AB268" s="284" t="s">
        <v>338</v>
      </c>
      <c r="AC268" s="285">
        <v>0</v>
      </c>
      <c r="AE268" s="277" t="str">
        <f t="shared" ca="1" si="48"/>
        <v>COMERCIALIZADORA ELÉCTRICA DE CADIZ, S.A.</v>
      </c>
      <c r="AF268" s="286">
        <f t="shared" ca="1" si="49"/>
        <v>0</v>
      </c>
    </row>
    <row r="269" spans="10:32" ht="18" customHeight="1" x14ac:dyDescent="0.3">
      <c r="R269" s="280" t="s">
        <v>341</v>
      </c>
      <c r="S269" s="283">
        <v>0</v>
      </c>
      <c r="T269" s="280" t="s">
        <v>421</v>
      </c>
      <c r="U269" s="283">
        <v>0</v>
      </c>
      <c r="V269" s="280" t="s">
        <v>403</v>
      </c>
      <c r="W269" s="283">
        <v>0</v>
      </c>
      <c r="X269" s="280" t="s">
        <v>404</v>
      </c>
      <c r="Y269" s="283">
        <v>0.15000000596046401</v>
      </c>
      <c r="Z269" s="280" t="s">
        <v>389</v>
      </c>
      <c r="AA269" s="283">
        <v>0</v>
      </c>
      <c r="AB269" s="284" t="s">
        <v>422</v>
      </c>
      <c r="AC269" s="285">
        <v>0</v>
      </c>
      <c r="AE269" s="277" t="str">
        <f t="shared" ca="1" si="48"/>
        <v>COMERCIALIZADORA ELÉCTRICA PENINSULAR S.L.</v>
      </c>
      <c r="AF269" s="286">
        <f t="shared" ca="1" si="49"/>
        <v>0</v>
      </c>
    </row>
    <row r="270" spans="10:32" ht="16.5" x14ac:dyDescent="0.3">
      <c r="R270" s="280" t="s">
        <v>423</v>
      </c>
      <c r="S270" s="283">
        <v>0</v>
      </c>
      <c r="T270" s="280" t="s">
        <v>363</v>
      </c>
      <c r="U270" s="283">
        <v>0</v>
      </c>
      <c r="V270" s="280" t="s">
        <v>424</v>
      </c>
      <c r="W270" s="283">
        <v>0.30000001192092901</v>
      </c>
      <c r="X270" s="280" t="s">
        <v>425</v>
      </c>
      <c r="Y270" s="283">
        <v>0</v>
      </c>
      <c r="Z270" s="280" t="s">
        <v>306</v>
      </c>
      <c r="AA270" s="283">
        <v>0</v>
      </c>
      <c r="AB270" s="284" t="s">
        <v>365</v>
      </c>
      <c r="AC270" s="285">
        <v>0</v>
      </c>
      <c r="AE270" s="277" t="str">
        <f t="shared" ca="1" si="48"/>
        <v>COMERCIALIZADORA ELÉCTRICA TALAYUELAS, S.L.</v>
      </c>
      <c r="AF270" s="286">
        <f t="shared" ca="1" si="49"/>
        <v>0</v>
      </c>
    </row>
    <row r="271" spans="10:32" ht="16.5" x14ac:dyDescent="0.3">
      <c r="R271" s="280" t="s">
        <v>426</v>
      </c>
      <c r="S271" s="283">
        <v>0.17000000178813901</v>
      </c>
      <c r="T271" s="280" t="s">
        <v>296</v>
      </c>
      <c r="U271" s="283">
        <v>0</v>
      </c>
      <c r="V271" s="280" t="s">
        <v>408</v>
      </c>
      <c r="W271" s="283">
        <v>5.9999998658895499E-2</v>
      </c>
      <c r="X271" s="280" t="s">
        <v>382</v>
      </c>
      <c r="Y271" s="283">
        <v>0.230000004172325</v>
      </c>
      <c r="Z271" s="280" t="s">
        <v>372</v>
      </c>
      <c r="AA271" s="283">
        <v>0</v>
      </c>
      <c r="AB271" s="284" t="s">
        <v>409</v>
      </c>
      <c r="AC271" s="285">
        <v>0</v>
      </c>
      <c r="AE271" s="277" t="str">
        <f t="shared" ca="1" si="48"/>
        <v>COMERCIALIZADORA ENERGÉTICA SOSTENIBLE, S.A.U.</v>
      </c>
      <c r="AF271" s="286">
        <f t="shared" ca="1" si="49"/>
        <v>0</v>
      </c>
    </row>
    <row r="272" spans="10:32" ht="16.5" x14ac:dyDescent="0.3">
      <c r="R272" s="280" t="s">
        <v>344</v>
      </c>
      <c r="S272" s="283">
        <v>0.230000004172325</v>
      </c>
      <c r="T272" s="280" t="s">
        <v>299</v>
      </c>
      <c r="U272" s="283">
        <v>0.34000000357627902</v>
      </c>
      <c r="V272" s="280" t="s">
        <v>411</v>
      </c>
      <c r="W272" s="283">
        <v>0</v>
      </c>
      <c r="X272" s="280" t="s">
        <v>412</v>
      </c>
      <c r="Y272" s="283">
        <v>0.230000004172325</v>
      </c>
      <c r="Z272" s="280" t="s">
        <v>394</v>
      </c>
      <c r="AA272" s="283">
        <v>0</v>
      </c>
      <c r="AB272" s="284" t="s">
        <v>277</v>
      </c>
      <c r="AC272" s="285">
        <v>0</v>
      </c>
      <c r="AE272" s="277" t="str">
        <f t="shared" ca="1" si="48"/>
        <v>COMERCIALIZADORA LERSA , S.L.</v>
      </c>
      <c r="AF272" s="286">
        <f t="shared" ca="1" si="49"/>
        <v>0</v>
      </c>
    </row>
    <row r="273" spans="10:32" ht="16.5" x14ac:dyDescent="0.3">
      <c r="R273" s="280" t="s">
        <v>343</v>
      </c>
      <c r="S273" s="283">
        <v>0.119999997317791</v>
      </c>
      <c r="T273" s="280" t="s">
        <v>312</v>
      </c>
      <c r="U273" s="283">
        <v>0.30000001192092901</v>
      </c>
      <c r="V273" s="280" t="s">
        <v>348</v>
      </c>
      <c r="W273" s="283">
        <v>0</v>
      </c>
      <c r="X273" s="280" t="s">
        <v>388</v>
      </c>
      <c r="Y273" s="283">
        <v>0.34999999403953602</v>
      </c>
      <c r="Z273" s="280" t="s">
        <v>333</v>
      </c>
      <c r="AA273" s="283">
        <v>0.28000000119209301</v>
      </c>
      <c r="AB273" s="284" t="s">
        <v>427</v>
      </c>
      <c r="AC273" s="285">
        <v>0</v>
      </c>
      <c r="AE273" s="277" t="str">
        <f t="shared" ca="1" si="48"/>
        <v>COMERCIALIZADORA TORRES ENERGÍA, S.L.</v>
      </c>
      <c r="AF273" s="286">
        <f t="shared" ca="1" si="49"/>
        <v>0</v>
      </c>
    </row>
    <row r="274" spans="10:32" ht="16.5" x14ac:dyDescent="0.3">
      <c r="R274" s="280" t="s">
        <v>347</v>
      </c>
      <c r="S274" s="283">
        <v>1.9999999552965199E-2</v>
      </c>
      <c r="T274" s="280" t="s">
        <v>428</v>
      </c>
      <c r="U274" s="283">
        <v>0</v>
      </c>
      <c r="V274" s="280" t="s">
        <v>352</v>
      </c>
      <c r="W274" s="283">
        <v>0</v>
      </c>
      <c r="X274" s="280" t="s">
        <v>429</v>
      </c>
      <c r="Y274" s="283">
        <v>0.40999999642372098</v>
      </c>
      <c r="Z274" s="280" t="s">
        <v>378</v>
      </c>
      <c r="AA274" s="283">
        <v>0.230000004172325</v>
      </c>
      <c r="AB274" s="284" t="s">
        <v>319</v>
      </c>
      <c r="AC274" s="285">
        <v>0</v>
      </c>
      <c r="AE274" s="277" t="str">
        <f t="shared" ca="1" si="48"/>
        <v>COMPAÑÍA ESCANDINAVA DE ELECTRICIDAD EN ESPAÑA, S.L.</v>
      </c>
      <c r="AF274" s="286">
        <f t="shared" ca="1" si="49"/>
        <v>0</v>
      </c>
    </row>
    <row r="275" spans="10:32" ht="16.5" x14ac:dyDescent="0.3">
      <c r="R275" s="280" t="s">
        <v>396</v>
      </c>
      <c r="S275" s="283">
        <v>3.9999999105930301E-2</v>
      </c>
      <c r="T275" s="280" t="s">
        <v>430</v>
      </c>
      <c r="U275" s="283">
        <v>0</v>
      </c>
      <c r="V275" s="280" t="s">
        <v>356</v>
      </c>
      <c r="W275" s="283">
        <v>5.9999998658895499E-2</v>
      </c>
      <c r="X275" s="280" t="s">
        <v>415</v>
      </c>
      <c r="Y275" s="283">
        <v>0</v>
      </c>
      <c r="Z275" s="280" t="s">
        <v>420</v>
      </c>
      <c r="AA275" s="283">
        <v>0.15999999642372101</v>
      </c>
      <c r="AB275" s="284" t="s">
        <v>431</v>
      </c>
      <c r="AC275" s="285">
        <v>0</v>
      </c>
      <c r="AE275" s="277" t="str">
        <f t="shared" ca="1" si="48"/>
        <v>CONECTA ENERGÍA VERDE, S.L.</v>
      </c>
      <c r="AF275" s="286">
        <f t="shared" ca="1" si="49"/>
        <v>0</v>
      </c>
    </row>
    <row r="276" spans="10:32" ht="16.5" x14ac:dyDescent="0.3">
      <c r="R276" s="280" t="s">
        <v>432</v>
      </c>
      <c r="S276" s="283">
        <v>0</v>
      </c>
      <c r="T276" s="280" t="s">
        <v>375</v>
      </c>
      <c r="U276" s="283">
        <v>0.31999999284744302</v>
      </c>
      <c r="V276" s="280" t="s">
        <v>363</v>
      </c>
      <c r="W276" s="283">
        <v>0</v>
      </c>
      <c r="X276" s="280" t="s">
        <v>433</v>
      </c>
      <c r="Y276" s="283">
        <v>0.40999999642372098</v>
      </c>
      <c r="Z276" s="280" t="s">
        <v>404</v>
      </c>
      <c r="AA276" s="283">
        <v>0.30000001192092901</v>
      </c>
      <c r="AB276" s="284" t="s">
        <v>353</v>
      </c>
      <c r="AC276" s="285">
        <v>0</v>
      </c>
      <c r="AE276" s="277" t="str">
        <f t="shared" ca="1" si="48"/>
        <v>COOPERATIVA ELÉCTRICA DE CASTELLAR, S.C.V.</v>
      </c>
      <c r="AF276" s="286">
        <f t="shared" ca="1" si="49"/>
        <v>0</v>
      </c>
    </row>
    <row r="277" spans="10:32" ht="16.5" x14ac:dyDescent="0.3">
      <c r="R277" s="280" t="s">
        <v>434</v>
      </c>
      <c r="S277" s="283">
        <v>0</v>
      </c>
      <c r="T277" s="280" t="s">
        <v>435</v>
      </c>
      <c r="U277" s="283">
        <v>0.34000000357627902</v>
      </c>
      <c r="V277" s="280" t="s">
        <v>436</v>
      </c>
      <c r="W277" s="283">
        <v>0.41999998688697798</v>
      </c>
      <c r="X277" s="280" t="s">
        <v>391</v>
      </c>
      <c r="Y277" s="283">
        <v>0</v>
      </c>
      <c r="Z277" s="280" t="s">
        <v>425</v>
      </c>
      <c r="AA277" s="283">
        <v>0</v>
      </c>
      <c r="AB277" s="284" t="s">
        <v>357</v>
      </c>
      <c r="AC277" s="285">
        <v>0</v>
      </c>
      <c r="AE277" s="277" t="str">
        <f t="shared" ca="1" si="48"/>
        <v>COOPERATIVA ELÉCTRICA BENÉFICA CATRALENSE, COOP. V.</v>
      </c>
      <c r="AF277" s="286">
        <f t="shared" ca="1" si="49"/>
        <v>0</v>
      </c>
    </row>
    <row r="278" spans="10:32" ht="16.5" x14ac:dyDescent="0.3">
      <c r="J278" s="287"/>
      <c r="K278" s="287"/>
      <c r="L278" s="287"/>
      <c r="R278" s="280" t="s">
        <v>437</v>
      </c>
      <c r="S278" s="283">
        <v>0.31000000238418601</v>
      </c>
      <c r="T278" s="280" t="s">
        <v>377</v>
      </c>
      <c r="U278" s="283">
        <v>0</v>
      </c>
      <c r="V278" s="280" t="s">
        <v>296</v>
      </c>
      <c r="W278" s="283">
        <v>0</v>
      </c>
      <c r="X278" s="280" t="s">
        <v>438</v>
      </c>
      <c r="Y278" s="283">
        <v>0.37000000476837203</v>
      </c>
      <c r="Z278" s="280" t="s">
        <v>382</v>
      </c>
      <c r="AA278" s="283">
        <v>0.230000004172325</v>
      </c>
      <c r="AB278" s="284" t="s">
        <v>364</v>
      </c>
      <c r="AC278" s="285">
        <v>0</v>
      </c>
      <c r="AE278" s="277" t="str">
        <f t="shared" ca="1" si="48"/>
        <v>COOPERATIVA ELÉCTRICA BENÉFICA SAN FRANCISCO DE ASÍS, COOP. V.</v>
      </c>
      <c r="AF278" s="286">
        <f t="shared" ca="1" si="49"/>
        <v>0</v>
      </c>
    </row>
    <row r="279" spans="10:32" ht="16.5" x14ac:dyDescent="0.3">
      <c r="J279" s="287"/>
      <c r="K279" s="287"/>
      <c r="L279" s="287"/>
      <c r="R279" s="280" t="s">
        <v>350</v>
      </c>
      <c r="S279" s="283">
        <v>0</v>
      </c>
      <c r="T279" s="280" t="s">
        <v>439</v>
      </c>
      <c r="U279" s="283">
        <v>0.36000001430511502</v>
      </c>
      <c r="V279" s="280" t="s">
        <v>299</v>
      </c>
      <c r="W279" s="283">
        <v>0.38999998569488498</v>
      </c>
      <c r="X279" s="280" t="s">
        <v>440</v>
      </c>
      <c r="Y279" s="283">
        <v>0.40999999642372098</v>
      </c>
      <c r="Z279" s="280" t="s">
        <v>441</v>
      </c>
      <c r="AA279" s="283">
        <v>0.119999997317791</v>
      </c>
      <c r="AB279" s="284" t="s">
        <v>370</v>
      </c>
      <c r="AC279" s="285">
        <v>0</v>
      </c>
      <c r="AE279" s="277" t="str">
        <f t="shared" ca="1" si="48"/>
        <v>COOPERATIVA ELÉCTRICA-BENÉFICA ALBATERENSE, COOP.V.</v>
      </c>
      <c r="AF279" s="286">
        <f t="shared" ca="1" si="49"/>
        <v>0</v>
      </c>
    </row>
    <row r="280" spans="10:32" ht="16.5" x14ac:dyDescent="0.3">
      <c r="J280" s="287"/>
      <c r="K280" s="287"/>
      <c r="L280" s="287"/>
      <c r="R280" s="280" t="s">
        <v>442</v>
      </c>
      <c r="S280" s="283">
        <v>0</v>
      </c>
      <c r="T280" s="280" t="s">
        <v>381</v>
      </c>
      <c r="U280" s="283">
        <v>0</v>
      </c>
      <c r="V280" s="280" t="s">
        <v>312</v>
      </c>
      <c r="W280" s="283">
        <v>0</v>
      </c>
      <c r="X280" s="280" t="s">
        <v>443</v>
      </c>
      <c r="Y280" s="283">
        <v>0</v>
      </c>
      <c r="Z280" s="280" t="s">
        <v>388</v>
      </c>
      <c r="AA280" s="283">
        <v>0</v>
      </c>
      <c r="AB280" s="284" t="s">
        <v>386</v>
      </c>
      <c r="AC280" s="285">
        <v>0</v>
      </c>
      <c r="AE280" s="277" t="str">
        <f t="shared" ca="1" si="48"/>
        <v>COOPERATIVA VALENCIANA ELECTRODISTRIBUIDORA DE FUERZA Y ALUMBRADO SERRALLO, S.Coop.V.</v>
      </c>
      <c r="AF280" s="286">
        <f t="shared" ca="1" si="49"/>
        <v>0</v>
      </c>
    </row>
    <row r="281" spans="10:32" ht="16.5" x14ac:dyDescent="0.3">
      <c r="J281" s="287"/>
      <c r="K281" s="287"/>
      <c r="L281" s="287"/>
      <c r="R281" s="280" t="s">
        <v>444</v>
      </c>
      <c r="S281" s="283">
        <v>0</v>
      </c>
      <c r="T281" s="280" t="s">
        <v>445</v>
      </c>
      <c r="U281" s="283">
        <v>0.34000000357627902</v>
      </c>
      <c r="V281" s="280" t="s">
        <v>428</v>
      </c>
      <c r="W281" s="283">
        <v>0</v>
      </c>
      <c r="X281" s="280" t="s">
        <v>446</v>
      </c>
      <c r="Y281" s="283">
        <v>0</v>
      </c>
      <c r="Z281" s="280" t="s">
        <v>447</v>
      </c>
      <c r="AA281" s="283">
        <v>0</v>
      </c>
      <c r="AB281" s="284" t="s">
        <v>448</v>
      </c>
      <c r="AC281" s="285">
        <v>0.19</v>
      </c>
      <c r="AE281" s="277" t="str">
        <f t="shared" ca="1" si="48"/>
        <v>CORPOLUX, S.L.</v>
      </c>
      <c r="AF281" s="286">
        <f t="shared" ca="1" si="49"/>
        <v>0.19</v>
      </c>
    </row>
    <row r="282" spans="10:32" ht="16.5" x14ac:dyDescent="0.3">
      <c r="J282" s="287"/>
      <c r="K282" s="287"/>
      <c r="L282" s="287"/>
      <c r="R282" s="280" t="s">
        <v>449</v>
      </c>
      <c r="S282" s="283">
        <v>5.0000000745058101E-2</v>
      </c>
      <c r="T282" s="280" t="s">
        <v>303</v>
      </c>
      <c r="U282" s="283">
        <v>0</v>
      </c>
      <c r="V282" s="280" t="s">
        <v>375</v>
      </c>
      <c r="W282" s="283">
        <v>0.37000000476837203</v>
      </c>
      <c r="X282" s="280" t="s">
        <v>337</v>
      </c>
      <c r="Y282" s="283">
        <v>0</v>
      </c>
      <c r="Z282" s="280" t="s">
        <v>415</v>
      </c>
      <c r="AA282" s="283">
        <v>0</v>
      </c>
      <c r="AB282" s="284" t="s">
        <v>450</v>
      </c>
      <c r="AC282" s="285">
        <v>0.28999999999999998</v>
      </c>
      <c r="AE282" s="277" t="str">
        <f t="shared" ca="1" si="48"/>
        <v>CORPORACIÓN ALIMENTARIA GUISSONA, S.A.</v>
      </c>
      <c r="AF282" s="286">
        <f t="shared" ca="1" si="49"/>
        <v>0.28999999999999998</v>
      </c>
    </row>
    <row r="283" spans="10:32" ht="16.5" x14ac:dyDescent="0.3">
      <c r="J283" s="287"/>
      <c r="K283" s="287"/>
      <c r="L283" s="287"/>
      <c r="R283" s="280" t="s">
        <v>402</v>
      </c>
      <c r="S283" s="283">
        <v>0</v>
      </c>
      <c r="T283" s="280" t="s">
        <v>451</v>
      </c>
      <c r="U283" s="283">
        <v>0</v>
      </c>
      <c r="V283" s="280" t="s">
        <v>377</v>
      </c>
      <c r="W283" s="283">
        <v>0</v>
      </c>
      <c r="X283" s="280" t="s">
        <v>342</v>
      </c>
      <c r="Y283" s="283">
        <v>0</v>
      </c>
      <c r="Z283" s="280" t="s">
        <v>391</v>
      </c>
      <c r="AA283" s="283">
        <v>0</v>
      </c>
      <c r="AB283" s="284" t="s">
        <v>452</v>
      </c>
      <c r="AC283" s="285">
        <v>0</v>
      </c>
      <c r="AE283" s="277" t="str">
        <f t="shared" ca="1" si="48"/>
        <v>COX ENERGÍA COMERCIALIZADORA ESPA¿A, S.L.U.</v>
      </c>
      <c r="AF283" s="286">
        <f t="shared" ca="1" si="49"/>
        <v>0</v>
      </c>
    </row>
    <row r="284" spans="10:32" ht="16.5" x14ac:dyDescent="0.3">
      <c r="J284" s="287"/>
      <c r="K284" s="287"/>
      <c r="L284" s="287"/>
      <c r="R284" s="280" t="s">
        <v>406</v>
      </c>
      <c r="S284" s="283">
        <v>0</v>
      </c>
      <c r="T284" s="280" t="s">
        <v>453</v>
      </c>
      <c r="U284" s="283">
        <v>0</v>
      </c>
      <c r="V284" s="280" t="s">
        <v>439</v>
      </c>
      <c r="W284" s="283">
        <v>0.43000000715255698</v>
      </c>
      <c r="X284" s="280" t="s">
        <v>454</v>
      </c>
      <c r="Y284" s="283">
        <v>0.34999999403953602</v>
      </c>
      <c r="Z284" s="280" t="s">
        <v>438</v>
      </c>
      <c r="AA284" s="283">
        <v>0</v>
      </c>
      <c r="AB284" s="284" t="s">
        <v>306</v>
      </c>
      <c r="AC284" s="285">
        <v>0</v>
      </c>
      <c r="AE284" s="277" t="str">
        <f t="shared" ca="1" si="48"/>
        <v>CYE ENERGÍA, S.L.</v>
      </c>
      <c r="AF284" s="286">
        <f t="shared" ca="1" si="49"/>
        <v>0</v>
      </c>
    </row>
    <row r="285" spans="10:32" ht="16.5" x14ac:dyDescent="0.3">
      <c r="J285" s="287"/>
      <c r="K285" s="287"/>
      <c r="L285" s="287"/>
      <c r="R285" s="280" t="s">
        <v>410</v>
      </c>
      <c r="S285" s="283">
        <v>0</v>
      </c>
      <c r="T285" s="280" t="s">
        <v>455</v>
      </c>
      <c r="U285" s="283">
        <v>0.28000000119209301</v>
      </c>
      <c r="V285" s="280" t="s">
        <v>381</v>
      </c>
      <c r="W285" s="283">
        <v>0.33000001311302202</v>
      </c>
      <c r="X285" s="280" t="s">
        <v>456</v>
      </c>
      <c r="Y285" s="283">
        <v>0</v>
      </c>
      <c r="Z285" s="280" t="s">
        <v>440</v>
      </c>
      <c r="AA285" s="283">
        <v>0.28999999165535001</v>
      </c>
      <c r="AB285" s="284" t="s">
        <v>372</v>
      </c>
      <c r="AC285" s="285">
        <v>0</v>
      </c>
      <c r="AE285" s="277" t="str">
        <f t="shared" ca="1" si="48"/>
        <v>DAIMUZ ENERGÍA, S.L.</v>
      </c>
      <c r="AF285" s="286">
        <f t="shared" ca="1" si="49"/>
        <v>0</v>
      </c>
    </row>
    <row r="286" spans="10:32" ht="16.5" x14ac:dyDescent="0.3">
      <c r="J286" s="287"/>
      <c r="K286" s="287"/>
      <c r="L286" s="287"/>
      <c r="R286" s="280" t="s">
        <v>457</v>
      </c>
      <c r="S286" s="283">
        <v>0</v>
      </c>
      <c r="T286" s="280" t="s">
        <v>458</v>
      </c>
      <c r="U286" s="283">
        <v>0</v>
      </c>
      <c r="V286" s="280" t="s">
        <v>445</v>
      </c>
      <c r="W286" s="283">
        <v>0.37999999523162797</v>
      </c>
      <c r="X286" s="280" t="s">
        <v>459</v>
      </c>
      <c r="Y286" s="283">
        <v>0.38999998569488498</v>
      </c>
      <c r="Z286" s="280" t="s">
        <v>443</v>
      </c>
      <c r="AA286" s="283">
        <v>0</v>
      </c>
      <c r="AB286" s="284" t="s">
        <v>394</v>
      </c>
      <c r="AC286" s="285">
        <v>0</v>
      </c>
      <c r="AE286" s="277" t="str">
        <f t="shared" ca="1" si="48"/>
        <v>DISA ENERGÍA ELÉCTRICA, S.L.U.</v>
      </c>
      <c r="AF286" s="286">
        <f t="shared" ca="1" si="49"/>
        <v>0</v>
      </c>
    </row>
    <row r="287" spans="10:32" ht="16.5" x14ac:dyDescent="0.3">
      <c r="J287" s="287"/>
      <c r="K287" s="287"/>
      <c r="L287" s="287"/>
      <c r="R287" s="280" t="s">
        <v>369</v>
      </c>
      <c r="S287" s="283">
        <v>0</v>
      </c>
      <c r="T287" s="280" t="s">
        <v>305</v>
      </c>
      <c r="U287" s="283">
        <v>0.28999999165535001</v>
      </c>
      <c r="V287" s="280" t="s">
        <v>303</v>
      </c>
      <c r="W287" s="283">
        <v>0</v>
      </c>
      <c r="X287" s="280" t="s">
        <v>300</v>
      </c>
      <c r="Y287" s="283">
        <v>0</v>
      </c>
      <c r="Z287" s="280" t="s">
        <v>446</v>
      </c>
      <c r="AA287" s="283">
        <v>0</v>
      </c>
      <c r="AB287" s="284" t="s">
        <v>460</v>
      </c>
      <c r="AC287" s="285">
        <v>0</v>
      </c>
      <c r="AE287" s="277" t="str">
        <f t="shared" ref="AE287:AE350" ca="1" si="50">INDIRECT("_Com"&amp;$F$2)</f>
        <v>DOMÉSTICA GAS Y ELECTRICIDAD SLU</v>
      </c>
      <c r="AF287" s="286">
        <f t="shared" ref="AF287:AF350" ca="1" si="51">INDIRECT("_Mix"&amp;$F$2)</f>
        <v>0</v>
      </c>
    </row>
    <row r="288" spans="10:32" ht="16.5" x14ac:dyDescent="0.3">
      <c r="J288" s="287"/>
      <c r="K288" s="287"/>
      <c r="L288" s="287"/>
      <c r="R288" s="289" t="s">
        <v>361</v>
      </c>
      <c r="S288" s="283">
        <v>0.4</v>
      </c>
      <c r="T288" s="280" t="s">
        <v>331</v>
      </c>
      <c r="U288" s="283">
        <v>0</v>
      </c>
      <c r="V288" s="280" t="s">
        <v>453</v>
      </c>
      <c r="W288" s="283">
        <v>0</v>
      </c>
      <c r="X288" s="280" t="s">
        <v>461</v>
      </c>
      <c r="Y288" s="283">
        <v>0</v>
      </c>
      <c r="Z288" s="280" t="s">
        <v>337</v>
      </c>
      <c r="AA288" s="283">
        <v>0</v>
      </c>
      <c r="AB288" s="284" t="s">
        <v>333</v>
      </c>
      <c r="AC288" s="285">
        <v>0.21</v>
      </c>
      <c r="AE288" s="277" t="str">
        <f t="shared" ca="1" si="50"/>
        <v>DREUE ELECTRIC, S.L.</v>
      </c>
      <c r="AF288" s="286">
        <f t="shared" ca="1" si="51"/>
        <v>0.21</v>
      </c>
    </row>
    <row r="289" spans="10:32" ht="16.5" x14ac:dyDescent="0.3">
      <c r="J289" s="287"/>
      <c r="K289" s="287"/>
      <c r="L289" s="287"/>
      <c r="R289" s="289" t="s">
        <v>368</v>
      </c>
      <c r="S289" s="283">
        <v>0.4</v>
      </c>
      <c r="T289" s="280" t="s">
        <v>462</v>
      </c>
      <c r="U289" s="283">
        <v>0</v>
      </c>
      <c r="V289" s="280" t="s">
        <v>455</v>
      </c>
      <c r="W289" s="283">
        <v>0.31999999284744302</v>
      </c>
      <c r="X289" s="280" t="s">
        <v>348</v>
      </c>
      <c r="Y289" s="283">
        <v>0</v>
      </c>
      <c r="Z289" s="280" t="s">
        <v>342</v>
      </c>
      <c r="AA289" s="283">
        <v>0</v>
      </c>
      <c r="AB289" s="284" t="s">
        <v>378</v>
      </c>
      <c r="AC289" s="285">
        <v>0</v>
      </c>
      <c r="AE289" s="277" t="str">
        <f t="shared" ca="1" si="50"/>
        <v>DRK ENERGY, S.L.</v>
      </c>
      <c r="AF289" s="286">
        <f t="shared" ca="1" si="51"/>
        <v>0</v>
      </c>
    </row>
    <row r="290" spans="10:32" ht="16.5" x14ac:dyDescent="0.3">
      <c r="O290" s="287"/>
      <c r="P290" s="287"/>
      <c r="Q290" s="287"/>
      <c r="R290" s="287"/>
      <c r="S290" s="287"/>
      <c r="T290" s="280" t="s">
        <v>463</v>
      </c>
      <c r="U290" s="283">
        <v>0.36000001430511502</v>
      </c>
      <c r="V290" s="280" t="s">
        <v>305</v>
      </c>
      <c r="W290" s="283">
        <v>0.31999999284744302</v>
      </c>
      <c r="X290" s="280" t="s">
        <v>352</v>
      </c>
      <c r="Y290" s="283">
        <v>0</v>
      </c>
      <c r="Z290" s="280" t="s">
        <v>454</v>
      </c>
      <c r="AA290" s="283">
        <v>0.18000000715255701</v>
      </c>
      <c r="AB290" s="284" t="s">
        <v>464</v>
      </c>
      <c r="AC290" s="285">
        <v>0</v>
      </c>
      <c r="AE290" s="277" t="str">
        <f t="shared" ca="1" si="50"/>
        <v>DUFENERGY TRADING S.A.</v>
      </c>
      <c r="AF290" s="286">
        <f t="shared" ca="1" si="51"/>
        <v>0</v>
      </c>
    </row>
    <row r="291" spans="10:32" ht="16.5" x14ac:dyDescent="0.3">
      <c r="O291" s="287"/>
      <c r="P291" s="287"/>
      <c r="Q291" s="287"/>
      <c r="R291" s="287"/>
      <c r="S291" s="287"/>
      <c r="T291" s="280" t="s">
        <v>465</v>
      </c>
      <c r="U291" s="283">
        <v>0</v>
      </c>
      <c r="V291" s="280" t="s">
        <v>331</v>
      </c>
      <c r="W291" s="283">
        <v>0</v>
      </c>
      <c r="X291" s="280" t="s">
        <v>356</v>
      </c>
      <c r="Y291" s="283">
        <v>0</v>
      </c>
      <c r="Z291" s="280" t="s">
        <v>348</v>
      </c>
      <c r="AA291" s="283">
        <v>0</v>
      </c>
      <c r="AB291" s="284" t="s">
        <v>420</v>
      </c>
      <c r="AC291" s="285">
        <v>0.24</v>
      </c>
      <c r="AE291" s="277" t="str">
        <f t="shared" ca="1" si="50"/>
        <v>ECOEQ ENERGÉTICA, S.L.</v>
      </c>
      <c r="AF291" s="286">
        <f t="shared" ca="1" si="51"/>
        <v>0.24</v>
      </c>
    </row>
    <row r="292" spans="10:32" ht="16.5" x14ac:dyDescent="0.3">
      <c r="O292" s="287"/>
      <c r="P292" s="287"/>
      <c r="Q292" s="287"/>
      <c r="R292" s="287"/>
      <c r="S292" s="287"/>
      <c r="T292" s="280" t="s">
        <v>466</v>
      </c>
      <c r="U292" s="283">
        <v>0.34000000357627902</v>
      </c>
      <c r="V292" s="280" t="s">
        <v>463</v>
      </c>
      <c r="W292" s="283">
        <v>0.36000001430511502</v>
      </c>
      <c r="X292" s="280" t="s">
        <v>421</v>
      </c>
      <c r="Y292" s="283">
        <v>0.37000000476837203</v>
      </c>
      <c r="Z292" s="280" t="s">
        <v>352</v>
      </c>
      <c r="AA292" s="283">
        <v>0</v>
      </c>
      <c r="AB292" s="284" t="s">
        <v>404</v>
      </c>
      <c r="AC292" s="285">
        <v>0.25</v>
      </c>
      <c r="AE292" s="277" t="str">
        <f t="shared" ca="1" si="50"/>
        <v>ECOFUTURA LUZ ENERGÍA, S.L.</v>
      </c>
      <c r="AF292" s="286">
        <f t="shared" ca="1" si="51"/>
        <v>0.25</v>
      </c>
    </row>
    <row r="293" spans="10:32" ht="16.5" x14ac:dyDescent="0.3">
      <c r="O293" s="287"/>
      <c r="P293" s="287"/>
      <c r="Q293" s="287"/>
      <c r="R293" s="287"/>
      <c r="S293" s="287"/>
      <c r="T293" s="280" t="s">
        <v>308</v>
      </c>
      <c r="U293" s="283">
        <v>0.28999999165535001</v>
      </c>
      <c r="V293" s="280" t="s">
        <v>467</v>
      </c>
      <c r="W293" s="283">
        <v>0.40999999642372098</v>
      </c>
      <c r="X293" s="280" t="s">
        <v>363</v>
      </c>
      <c r="Y293" s="283">
        <v>0</v>
      </c>
      <c r="Z293" s="280" t="s">
        <v>459</v>
      </c>
      <c r="AA293" s="283">
        <v>0.28999999165535001</v>
      </c>
      <c r="AB293" s="284" t="s">
        <v>425</v>
      </c>
      <c r="AC293" s="285">
        <v>0</v>
      </c>
      <c r="AE293" s="277" t="str">
        <f t="shared" ca="1" si="50"/>
        <v>ECONACTIVA, S. COOP DE C-LM</v>
      </c>
      <c r="AF293" s="286">
        <f t="shared" ca="1" si="51"/>
        <v>0</v>
      </c>
    </row>
    <row r="294" spans="10:32" ht="16.5" x14ac:dyDescent="0.3">
      <c r="O294" s="287"/>
      <c r="P294" s="287"/>
      <c r="Q294" s="287"/>
      <c r="R294" s="287"/>
      <c r="S294" s="287"/>
      <c r="T294" s="280" t="s">
        <v>311</v>
      </c>
      <c r="U294" s="283">
        <v>0.28999999165535001</v>
      </c>
      <c r="V294" s="280" t="s">
        <v>466</v>
      </c>
      <c r="W294" s="283">
        <v>0</v>
      </c>
      <c r="X294" s="280" t="s">
        <v>468</v>
      </c>
      <c r="Y294" s="283">
        <v>0.40999999642372098</v>
      </c>
      <c r="Z294" s="280" t="s">
        <v>300</v>
      </c>
      <c r="AA294" s="283">
        <v>0</v>
      </c>
      <c r="AB294" s="284" t="s">
        <v>469</v>
      </c>
      <c r="AC294" s="285">
        <v>0.12</v>
      </c>
      <c r="AE294" s="277" t="str">
        <f t="shared" ca="1" si="50"/>
        <v>EDP CLIENTES SAU</v>
      </c>
      <c r="AF294" s="286">
        <f t="shared" ca="1" si="51"/>
        <v>0.12</v>
      </c>
    </row>
    <row r="295" spans="10:32" ht="16.5" x14ac:dyDescent="0.3">
      <c r="O295" s="287"/>
      <c r="P295" s="287"/>
      <c r="Q295" s="287"/>
      <c r="R295" s="287"/>
      <c r="S295" s="287"/>
      <c r="T295" s="280" t="s">
        <v>470</v>
      </c>
      <c r="U295" s="283">
        <v>0</v>
      </c>
      <c r="V295" s="280" t="s">
        <v>308</v>
      </c>
      <c r="W295" s="283">
        <v>0.34999999403953602</v>
      </c>
      <c r="X295" s="280" t="s">
        <v>296</v>
      </c>
      <c r="Y295" s="283">
        <v>0</v>
      </c>
      <c r="Z295" s="280" t="s">
        <v>461</v>
      </c>
      <c r="AA295" s="283">
        <v>0</v>
      </c>
      <c r="AB295" s="284" t="s">
        <v>382</v>
      </c>
      <c r="AC295" s="285">
        <v>0.21</v>
      </c>
      <c r="AE295" s="277" t="str">
        <f t="shared" ca="1" si="50"/>
        <v>EDP COMERCIALIZADORA, S.A.U.</v>
      </c>
      <c r="AF295" s="286">
        <f t="shared" ca="1" si="51"/>
        <v>0.21</v>
      </c>
    </row>
    <row r="296" spans="10:32" ht="16.5" x14ac:dyDescent="0.3">
      <c r="O296" s="287"/>
      <c r="P296" s="287"/>
      <c r="Q296" s="287"/>
      <c r="R296" s="287"/>
      <c r="S296" s="287"/>
      <c r="T296" s="280" t="s">
        <v>320</v>
      </c>
      <c r="U296" s="283">
        <v>0</v>
      </c>
      <c r="V296" s="280" t="s">
        <v>471</v>
      </c>
      <c r="W296" s="283">
        <v>0</v>
      </c>
      <c r="X296" s="280" t="s">
        <v>299</v>
      </c>
      <c r="Y296" s="283">
        <v>0.37999999523162797</v>
      </c>
      <c r="Z296" s="280" t="s">
        <v>472</v>
      </c>
      <c r="AA296" s="283">
        <v>0</v>
      </c>
      <c r="AB296" s="284" t="s">
        <v>412</v>
      </c>
      <c r="AC296" s="285">
        <v>0.22</v>
      </c>
      <c r="AE296" s="277" t="str">
        <f t="shared" ca="1" si="50"/>
        <v>EDP ENERGÍA S.A.U.</v>
      </c>
      <c r="AF296" s="286">
        <f t="shared" ca="1" si="51"/>
        <v>0.22</v>
      </c>
    </row>
    <row r="297" spans="10:32" ht="16.5" x14ac:dyDescent="0.3">
      <c r="O297" s="287"/>
      <c r="P297" s="287"/>
      <c r="Q297" s="287"/>
      <c r="R297" s="287"/>
      <c r="S297" s="287"/>
      <c r="T297" s="280" t="s">
        <v>325</v>
      </c>
      <c r="U297" s="283">
        <v>0</v>
      </c>
      <c r="V297" s="280" t="s">
        <v>311</v>
      </c>
      <c r="W297" s="283">
        <v>0.38999998569488498</v>
      </c>
      <c r="X297" s="280" t="s">
        <v>309</v>
      </c>
      <c r="Y297" s="283">
        <v>0</v>
      </c>
      <c r="Z297" s="280" t="s">
        <v>473</v>
      </c>
      <c r="AA297" s="283">
        <v>0</v>
      </c>
      <c r="AB297" s="284" t="s">
        <v>388</v>
      </c>
      <c r="AC297" s="285">
        <v>0.23</v>
      </c>
      <c r="AE297" s="277" t="str">
        <f t="shared" ca="1" si="50"/>
        <v>ELECNOVA SIGLO XXI, S.L.</v>
      </c>
      <c r="AF297" s="286">
        <f t="shared" ca="1" si="51"/>
        <v>0.23</v>
      </c>
    </row>
    <row r="298" spans="10:32" ht="16.5" x14ac:dyDescent="0.3">
      <c r="O298" s="287"/>
      <c r="P298" s="287"/>
      <c r="Q298" s="287"/>
      <c r="R298" s="287"/>
      <c r="S298" s="287"/>
      <c r="T298" s="280" t="s">
        <v>474</v>
      </c>
      <c r="U298" s="283">
        <v>7.0000000298023196E-2</v>
      </c>
      <c r="V298" s="280" t="s">
        <v>470</v>
      </c>
      <c r="W298" s="283">
        <v>0</v>
      </c>
      <c r="X298" s="280" t="s">
        <v>312</v>
      </c>
      <c r="Y298" s="283">
        <v>0.15999999642372101</v>
      </c>
      <c r="Z298" s="280" t="s">
        <v>475</v>
      </c>
      <c r="AA298" s="283">
        <v>0</v>
      </c>
      <c r="AB298" s="284" t="s">
        <v>447</v>
      </c>
      <c r="AC298" s="285">
        <v>0</v>
      </c>
      <c r="AE298" s="277" t="str">
        <f t="shared" ca="1" si="50"/>
        <v>ELECTRA AVELLANA COMERCIAL, S.L.</v>
      </c>
      <c r="AF298" s="286">
        <f t="shared" ca="1" si="51"/>
        <v>0</v>
      </c>
    </row>
    <row r="299" spans="10:32" ht="16.5" x14ac:dyDescent="0.3">
      <c r="O299" s="287"/>
      <c r="P299" s="287"/>
      <c r="Q299" s="287"/>
      <c r="R299" s="287"/>
      <c r="S299" s="287"/>
      <c r="T299" s="280" t="s">
        <v>476</v>
      </c>
      <c r="U299" s="283">
        <v>0.31999999284744302</v>
      </c>
      <c r="V299" s="280" t="s">
        <v>320</v>
      </c>
      <c r="W299" s="283">
        <v>0</v>
      </c>
      <c r="X299" s="280" t="s">
        <v>428</v>
      </c>
      <c r="Y299" s="283">
        <v>0</v>
      </c>
      <c r="Z299" s="280" t="s">
        <v>477</v>
      </c>
      <c r="AA299" s="283">
        <v>0.239999994635582</v>
      </c>
      <c r="AB299" s="284" t="s">
        <v>415</v>
      </c>
      <c r="AC299" s="285">
        <v>0</v>
      </c>
      <c r="AE299" s="277" t="str">
        <f t="shared" ca="1" si="50"/>
        <v>ELECTRA CALDENSE ENERGÍA, S.A.</v>
      </c>
      <c r="AF299" s="286">
        <f t="shared" ca="1" si="51"/>
        <v>0</v>
      </c>
    </row>
    <row r="300" spans="10:32" ht="16.5" x14ac:dyDescent="0.3">
      <c r="O300" s="287"/>
      <c r="P300" s="287"/>
      <c r="Q300" s="287"/>
      <c r="R300" s="287"/>
      <c r="S300" s="287"/>
      <c r="T300" s="280" t="s">
        <v>478</v>
      </c>
      <c r="U300" s="283">
        <v>0</v>
      </c>
      <c r="V300" s="280" t="s">
        <v>325</v>
      </c>
      <c r="W300" s="283">
        <v>0</v>
      </c>
      <c r="X300" s="280" t="s">
        <v>430</v>
      </c>
      <c r="Y300" s="283">
        <v>0.25</v>
      </c>
      <c r="Z300" s="280" t="s">
        <v>479</v>
      </c>
      <c r="AA300" s="283">
        <v>0</v>
      </c>
      <c r="AB300" s="284" t="s">
        <v>391</v>
      </c>
      <c r="AC300" s="285">
        <v>0</v>
      </c>
      <c r="AE300" s="277" t="str">
        <f t="shared" ca="1" si="50"/>
        <v>ELECTRA DEL CARDENER ENERGÍA, S.A.</v>
      </c>
      <c r="AF300" s="286">
        <f t="shared" ca="1" si="51"/>
        <v>0</v>
      </c>
    </row>
    <row r="301" spans="10:32" ht="16.5" x14ac:dyDescent="0.3">
      <c r="O301" s="287"/>
      <c r="P301" s="287"/>
      <c r="Q301" s="287"/>
      <c r="R301" s="287"/>
      <c r="S301" s="287"/>
      <c r="T301" s="280" t="s">
        <v>351</v>
      </c>
      <c r="U301" s="283">
        <v>0</v>
      </c>
      <c r="V301" s="280" t="s">
        <v>474</v>
      </c>
      <c r="W301" s="283">
        <v>0</v>
      </c>
      <c r="X301" s="280" t="s">
        <v>375</v>
      </c>
      <c r="Y301" s="283">
        <v>0.20000000298023199</v>
      </c>
      <c r="Z301" s="280" t="s">
        <v>363</v>
      </c>
      <c r="AA301" s="283">
        <v>0</v>
      </c>
      <c r="AB301" s="284" t="s">
        <v>438</v>
      </c>
      <c r="AC301" s="285">
        <v>0</v>
      </c>
      <c r="AE301" s="277" t="str">
        <f t="shared" ca="1" si="50"/>
        <v>ELECTRA ENERGÍA, S.A.U.</v>
      </c>
      <c r="AF301" s="286">
        <f t="shared" ca="1" si="51"/>
        <v>0</v>
      </c>
    </row>
    <row r="302" spans="10:32" ht="16.5" x14ac:dyDescent="0.3">
      <c r="O302" s="287"/>
      <c r="P302" s="287"/>
      <c r="Q302" s="287"/>
      <c r="R302" s="287"/>
      <c r="S302" s="287"/>
      <c r="T302" s="280" t="s">
        <v>480</v>
      </c>
      <c r="U302" s="283">
        <v>0</v>
      </c>
      <c r="V302" s="280" t="s">
        <v>481</v>
      </c>
      <c r="W302" s="283">
        <v>0</v>
      </c>
      <c r="X302" s="280" t="s">
        <v>435</v>
      </c>
      <c r="Y302" s="283">
        <v>0.40999999642372098</v>
      </c>
      <c r="Z302" s="280" t="s">
        <v>296</v>
      </c>
      <c r="AA302" s="283">
        <v>0</v>
      </c>
      <c r="AB302" s="284" t="s">
        <v>440</v>
      </c>
      <c r="AC302" s="285">
        <v>0.23</v>
      </c>
      <c r="AE302" s="277" t="str">
        <f t="shared" ca="1" si="50"/>
        <v>ELECTRA NORTE ENERGÍA, S.A.U.</v>
      </c>
      <c r="AF302" s="286">
        <f t="shared" ca="1" si="51"/>
        <v>0.23</v>
      </c>
    </row>
    <row r="303" spans="10:32" ht="16.5" x14ac:dyDescent="0.3">
      <c r="O303" s="287"/>
      <c r="P303" s="287"/>
      <c r="Q303" s="287"/>
      <c r="R303" s="287"/>
      <c r="S303" s="287"/>
      <c r="T303" s="280" t="s">
        <v>334</v>
      </c>
      <c r="U303" s="283">
        <v>0</v>
      </c>
      <c r="V303" s="280" t="s">
        <v>351</v>
      </c>
      <c r="W303" s="283">
        <v>0</v>
      </c>
      <c r="X303" s="280" t="s">
        <v>482</v>
      </c>
      <c r="Y303" s="283">
        <v>0</v>
      </c>
      <c r="Z303" s="280" t="s">
        <v>299</v>
      </c>
      <c r="AA303" s="283">
        <v>0.270000010728836</v>
      </c>
      <c r="AB303" s="284" t="s">
        <v>483</v>
      </c>
      <c r="AC303" s="285">
        <v>0</v>
      </c>
      <c r="AE303" s="277" t="str">
        <f t="shared" ca="1" si="50"/>
        <v>ELECTRACOMERCIAL CENTELLES, S.L.</v>
      </c>
      <c r="AF303" s="286">
        <f t="shared" ca="1" si="51"/>
        <v>0</v>
      </c>
    </row>
    <row r="304" spans="10:32" ht="16.5" x14ac:dyDescent="0.3">
      <c r="O304" s="287"/>
      <c r="P304" s="287"/>
      <c r="Q304" s="287"/>
      <c r="R304" s="287"/>
      <c r="S304" s="287"/>
      <c r="T304" s="280" t="s">
        <v>380</v>
      </c>
      <c r="U304" s="283">
        <v>0.15000000596046401</v>
      </c>
      <c r="V304" s="280" t="s">
        <v>480</v>
      </c>
      <c r="W304" s="283">
        <v>0</v>
      </c>
      <c r="X304" s="280" t="s">
        <v>377</v>
      </c>
      <c r="Y304" s="283">
        <v>0</v>
      </c>
      <c r="Z304" s="280" t="s">
        <v>309</v>
      </c>
      <c r="AA304" s="283">
        <v>0.31000000238418601</v>
      </c>
      <c r="AB304" s="284" t="s">
        <v>392</v>
      </c>
      <c r="AC304" s="285">
        <v>0</v>
      </c>
      <c r="AE304" s="277" t="str">
        <f t="shared" ca="1" si="50"/>
        <v>ELÉCTRICA ALBATERENSE, S.L.</v>
      </c>
      <c r="AF304" s="286">
        <f t="shared" ca="1" si="51"/>
        <v>0</v>
      </c>
    </row>
    <row r="305" spans="11:32" ht="16.5" x14ac:dyDescent="0.3">
      <c r="O305" s="287"/>
      <c r="P305" s="287"/>
      <c r="Q305" s="287"/>
      <c r="R305" s="287"/>
      <c r="S305" s="287"/>
      <c r="T305" s="280" t="s">
        <v>417</v>
      </c>
      <c r="U305" s="283">
        <v>0.109999999403954</v>
      </c>
      <c r="V305" s="280" t="s">
        <v>334</v>
      </c>
      <c r="W305" s="283">
        <v>0</v>
      </c>
      <c r="X305" s="280" t="s">
        <v>439</v>
      </c>
      <c r="Y305" s="283">
        <v>0.40999999642372098</v>
      </c>
      <c r="Z305" s="280" t="s">
        <v>484</v>
      </c>
      <c r="AA305" s="283">
        <v>0</v>
      </c>
      <c r="AB305" s="284" t="s">
        <v>397</v>
      </c>
      <c r="AC305" s="285">
        <v>0</v>
      </c>
      <c r="AE305" s="277" t="str">
        <f t="shared" ca="1" si="50"/>
        <v>ELÉCTRICA CATRALENSE, S.L.</v>
      </c>
      <c r="AF305" s="286">
        <f t="shared" ca="1" si="51"/>
        <v>0</v>
      </c>
    </row>
    <row r="306" spans="11:32" ht="16.5" x14ac:dyDescent="0.3">
      <c r="O306" s="287"/>
      <c r="P306" s="287"/>
      <c r="Q306" s="287"/>
      <c r="R306" s="287"/>
      <c r="S306" s="287"/>
      <c r="T306" s="280" t="s">
        <v>418</v>
      </c>
      <c r="U306" s="283">
        <v>0</v>
      </c>
      <c r="V306" s="280" t="s">
        <v>380</v>
      </c>
      <c r="W306" s="283">
        <v>0.28000000119209301</v>
      </c>
      <c r="X306" s="280" t="s">
        <v>485</v>
      </c>
      <c r="Y306" s="283">
        <v>0</v>
      </c>
      <c r="Z306" s="280" t="s">
        <v>486</v>
      </c>
      <c r="AA306" s="283">
        <v>0</v>
      </c>
      <c r="AB306" s="284" t="s">
        <v>399</v>
      </c>
      <c r="AC306" s="285">
        <v>0</v>
      </c>
      <c r="AE306" s="277" t="str">
        <f t="shared" ca="1" si="50"/>
        <v>ELÉCTRICA DE CHERA, S.C.V.</v>
      </c>
      <c r="AF306" s="286">
        <f t="shared" ca="1" si="51"/>
        <v>0</v>
      </c>
    </row>
    <row r="307" spans="11:32" ht="16.5" x14ac:dyDescent="0.3">
      <c r="K307" s="287"/>
      <c r="O307" s="287"/>
      <c r="P307" s="287"/>
      <c r="Q307" s="287"/>
      <c r="R307" s="287"/>
      <c r="S307" s="287"/>
      <c r="T307" s="280" t="s">
        <v>487</v>
      </c>
      <c r="U307" s="283">
        <v>0.36000001430511502</v>
      </c>
      <c r="V307" s="280" t="s">
        <v>488</v>
      </c>
      <c r="W307" s="283">
        <v>0</v>
      </c>
      <c r="X307" s="280" t="s">
        <v>489</v>
      </c>
      <c r="Y307" s="283">
        <v>0</v>
      </c>
      <c r="Z307" s="280" t="s">
        <v>312</v>
      </c>
      <c r="AA307" s="283">
        <v>0.259999990463257</v>
      </c>
      <c r="AB307" s="284" t="s">
        <v>403</v>
      </c>
      <c r="AC307" s="285">
        <v>0</v>
      </c>
      <c r="AE307" s="277" t="str">
        <f t="shared" ca="1" si="50"/>
        <v>ELÉCTRICA DE GUADASSUAR COOP. V.</v>
      </c>
      <c r="AF307" s="286">
        <f t="shared" ca="1" si="51"/>
        <v>0</v>
      </c>
    </row>
    <row r="308" spans="11:32" ht="16.5" x14ac:dyDescent="0.3">
      <c r="K308" s="287"/>
      <c r="T308" s="280" t="s">
        <v>341</v>
      </c>
      <c r="U308" s="283">
        <v>0</v>
      </c>
      <c r="V308" s="280" t="s">
        <v>417</v>
      </c>
      <c r="W308" s="283">
        <v>0.230000004172325</v>
      </c>
      <c r="X308" s="280" t="s">
        <v>381</v>
      </c>
      <c r="Y308" s="283">
        <v>0.28000000119209301</v>
      </c>
      <c r="Z308" s="280" t="s">
        <v>490</v>
      </c>
      <c r="AA308" s="283">
        <v>0</v>
      </c>
      <c r="AB308" s="284" t="s">
        <v>491</v>
      </c>
      <c r="AC308" s="285">
        <v>0.17</v>
      </c>
      <c r="AE308" s="277" t="str">
        <f t="shared" ca="1" si="50"/>
        <v>ELÉCTRICA DE GUIXES ENERGÍA, S.L.</v>
      </c>
      <c r="AF308" s="286">
        <f t="shared" ca="1" si="51"/>
        <v>0.17</v>
      </c>
    </row>
    <row r="309" spans="11:32" ht="16.5" x14ac:dyDescent="0.3">
      <c r="K309" s="287"/>
      <c r="T309" s="280" t="s">
        <v>492</v>
      </c>
      <c r="U309" s="283">
        <v>0.28999999165535001</v>
      </c>
      <c r="V309" s="280" t="s">
        <v>418</v>
      </c>
      <c r="W309" s="283">
        <v>9.9999997764825804E-3</v>
      </c>
      <c r="X309" s="280" t="s">
        <v>493</v>
      </c>
      <c r="Y309" s="283">
        <v>0</v>
      </c>
      <c r="Z309" s="280" t="s">
        <v>377</v>
      </c>
      <c r="AA309" s="283">
        <v>0</v>
      </c>
      <c r="AB309" s="284" t="s">
        <v>411</v>
      </c>
      <c r="AC309" s="285">
        <v>0</v>
      </c>
      <c r="AE309" s="277" t="str">
        <f t="shared" ca="1" si="50"/>
        <v>ELÉCTRICA SOLLERENSE, S.A.</v>
      </c>
      <c r="AF309" s="286">
        <f t="shared" ca="1" si="51"/>
        <v>0</v>
      </c>
    </row>
    <row r="310" spans="11:32" ht="16.5" x14ac:dyDescent="0.3">
      <c r="K310" s="287"/>
      <c r="T310" s="280" t="s">
        <v>494</v>
      </c>
      <c r="U310" s="283">
        <v>0</v>
      </c>
      <c r="V310" s="280" t="s">
        <v>495</v>
      </c>
      <c r="W310" s="283">
        <v>0.43000000715255698</v>
      </c>
      <c r="X310" s="280" t="s">
        <v>445</v>
      </c>
      <c r="Y310" s="283">
        <v>0.34999999403953602</v>
      </c>
      <c r="Z310" s="280" t="s">
        <v>439</v>
      </c>
      <c r="AA310" s="283">
        <v>0.30000001192092901</v>
      </c>
      <c r="AB310" s="284" t="s">
        <v>496</v>
      </c>
      <c r="AC310" s="285">
        <v>0</v>
      </c>
      <c r="AE310" s="277" t="str">
        <f t="shared" ca="1" si="50"/>
        <v>ELÉCTRICA VAQUER ENERGÍA, S.A.</v>
      </c>
      <c r="AF310" s="286">
        <f t="shared" ca="1" si="51"/>
        <v>0</v>
      </c>
    </row>
    <row r="311" spans="11:32" ht="16.5" x14ac:dyDescent="0.3">
      <c r="K311" s="287"/>
      <c r="T311" s="280" t="s">
        <v>343</v>
      </c>
      <c r="U311" s="283">
        <v>1.9999999552965199E-2</v>
      </c>
      <c r="V311" s="280" t="s">
        <v>487</v>
      </c>
      <c r="W311" s="283">
        <v>0.43000000715255698</v>
      </c>
      <c r="X311" s="280" t="s">
        <v>497</v>
      </c>
      <c r="Y311" s="283">
        <v>0.40000000596046498</v>
      </c>
      <c r="Z311" s="280" t="s">
        <v>485</v>
      </c>
      <c r="AA311" s="283">
        <v>0</v>
      </c>
      <c r="AB311" s="284" t="s">
        <v>498</v>
      </c>
      <c r="AC311" s="285">
        <v>0</v>
      </c>
      <c r="AE311" s="277" t="str">
        <f t="shared" ca="1" si="50"/>
        <v>ELÉCTRICA VINALESA SDAD COOP VALENCIANA</v>
      </c>
      <c r="AF311" s="286">
        <f t="shared" ca="1" si="51"/>
        <v>0</v>
      </c>
    </row>
    <row r="312" spans="11:32" ht="16.5" x14ac:dyDescent="0.3">
      <c r="K312" s="287"/>
      <c r="T312" s="280" t="s">
        <v>347</v>
      </c>
      <c r="U312" s="283">
        <v>0</v>
      </c>
      <c r="V312" s="280" t="s">
        <v>499</v>
      </c>
      <c r="W312" s="283">
        <v>0.119999997317791</v>
      </c>
      <c r="X312" s="280" t="s">
        <v>303</v>
      </c>
      <c r="Y312" s="283">
        <v>0.140000000596046</v>
      </c>
      <c r="Z312" s="280" t="s">
        <v>430</v>
      </c>
      <c r="AA312" s="283">
        <v>0</v>
      </c>
      <c r="AB312" s="284" t="s">
        <v>475</v>
      </c>
      <c r="AC312" s="285">
        <v>0.17</v>
      </c>
      <c r="AE312" s="277" t="str">
        <f t="shared" ca="1" si="50"/>
        <v>ELECTRICIDAD ELEIA S.L.</v>
      </c>
      <c r="AF312" s="286">
        <f t="shared" ca="1" si="51"/>
        <v>0.17</v>
      </c>
    </row>
    <row r="313" spans="11:32" ht="16.5" x14ac:dyDescent="0.3">
      <c r="K313" s="287"/>
      <c r="T313" s="280" t="s">
        <v>500</v>
      </c>
      <c r="U313" s="283">
        <v>0.270000010728836</v>
      </c>
      <c r="V313" s="280" t="s">
        <v>501</v>
      </c>
      <c r="W313" s="283">
        <v>0</v>
      </c>
      <c r="X313" s="280" t="s">
        <v>451</v>
      </c>
      <c r="Y313" s="283">
        <v>0</v>
      </c>
      <c r="Z313" s="280" t="s">
        <v>482</v>
      </c>
      <c r="AA313" s="283">
        <v>0.259999990463257</v>
      </c>
      <c r="AB313" s="284" t="s">
        <v>502</v>
      </c>
      <c r="AC313" s="285">
        <v>0</v>
      </c>
      <c r="AE313" s="277" t="str">
        <f t="shared" ca="1" si="50"/>
        <v>ELEGA ENERGÍA SL</v>
      </c>
      <c r="AF313" s="286">
        <f t="shared" ca="1" si="51"/>
        <v>0</v>
      </c>
    </row>
    <row r="314" spans="11:32" ht="16.5" x14ac:dyDescent="0.3">
      <c r="K314" s="287"/>
      <c r="T314" s="280" t="s">
        <v>503</v>
      </c>
      <c r="U314" s="283">
        <v>0</v>
      </c>
      <c r="V314" s="280" t="s">
        <v>492</v>
      </c>
      <c r="W314" s="283">
        <v>0.31000000238418601</v>
      </c>
      <c r="X314" s="280" t="s">
        <v>453</v>
      </c>
      <c r="Y314" s="283">
        <v>0</v>
      </c>
      <c r="Z314" s="280" t="s">
        <v>504</v>
      </c>
      <c r="AA314" s="283">
        <v>0.270000010728836</v>
      </c>
      <c r="AB314" s="284" t="s">
        <v>505</v>
      </c>
      <c r="AC314" s="285">
        <v>0.21</v>
      </c>
      <c r="AE314" s="277" t="str">
        <f t="shared" ca="1" si="50"/>
        <v>ELEKTRON COMERCIALIZADORA DE ENERGÍA, SOCIEDAD LIMITADA</v>
      </c>
      <c r="AF314" s="286">
        <f t="shared" ca="1" si="51"/>
        <v>0.21</v>
      </c>
    </row>
    <row r="315" spans="11:32" ht="16.5" x14ac:dyDescent="0.3">
      <c r="K315" s="287"/>
      <c r="T315" s="280" t="s">
        <v>506</v>
      </c>
      <c r="U315" s="283">
        <v>0</v>
      </c>
      <c r="V315" s="280" t="s">
        <v>507</v>
      </c>
      <c r="W315" s="283">
        <v>0</v>
      </c>
      <c r="X315" s="280" t="s">
        <v>455</v>
      </c>
      <c r="Y315" s="283">
        <v>7.9999998211860698E-2</v>
      </c>
      <c r="Z315" s="280" t="s">
        <v>375</v>
      </c>
      <c r="AA315" s="283">
        <v>0.10000000149011599</v>
      </c>
      <c r="AB315" s="284" t="s">
        <v>508</v>
      </c>
      <c r="AC315" s="285">
        <v>0</v>
      </c>
      <c r="AE315" s="277" t="str">
        <f t="shared" ca="1" si="50"/>
        <v>ELEVA 2 COMERCIALIZADORA SL</v>
      </c>
      <c r="AF315" s="286">
        <f t="shared" ca="1" si="51"/>
        <v>0</v>
      </c>
    </row>
    <row r="316" spans="11:32" ht="16.5" x14ac:dyDescent="0.3">
      <c r="K316" s="287"/>
      <c r="T316" s="280" t="s">
        <v>509</v>
      </c>
      <c r="U316" s="283">
        <v>0</v>
      </c>
      <c r="V316" s="280" t="s">
        <v>510</v>
      </c>
      <c r="W316" s="283">
        <v>0.34000000357627902</v>
      </c>
      <c r="X316" s="280" t="s">
        <v>511</v>
      </c>
      <c r="Y316" s="283">
        <v>0.40000000596046498</v>
      </c>
      <c r="Z316" s="280" t="s">
        <v>303</v>
      </c>
      <c r="AA316" s="283">
        <v>0.17000000178813901</v>
      </c>
      <c r="AB316" s="284" t="s">
        <v>348</v>
      </c>
      <c r="AC316" s="285">
        <v>0</v>
      </c>
      <c r="AE316" s="277" t="str">
        <f t="shared" ca="1" si="50"/>
        <v>ELÉCTRICA DE MELIANA, S.C.V.</v>
      </c>
      <c r="AF316" s="286">
        <f t="shared" ca="1" si="51"/>
        <v>0</v>
      </c>
    </row>
    <row r="317" spans="11:32" ht="16.5" x14ac:dyDescent="0.3">
      <c r="K317" s="287"/>
      <c r="T317" s="280" t="s">
        <v>512</v>
      </c>
      <c r="U317" s="283">
        <v>0</v>
      </c>
      <c r="V317" s="280" t="s">
        <v>343</v>
      </c>
      <c r="W317" s="283">
        <v>0</v>
      </c>
      <c r="X317" s="280" t="s">
        <v>305</v>
      </c>
      <c r="Y317" s="283">
        <v>0.28000000119209301</v>
      </c>
      <c r="Z317" s="280" t="s">
        <v>493</v>
      </c>
      <c r="AA317" s="283">
        <v>0</v>
      </c>
      <c r="AB317" s="284" t="s">
        <v>352</v>
      </c>
      <c r="AC317" s="285">
        <v>0</v>
      </c>
      <c r="AE317" s="277" t="str">
        <f t="shared" ca="1" si="50"/>
        <v>ELÉCTRICA DE SOT DE CHERA S. COOP.V.</v>
      </c>
      <c r="AF317" s="286">
        <f t="shared" ca="1" si="51"/>
        <v>0</v>
      </c>
    </row>
    <row r="318" spans="11:32" ht="15" customHeight="1" x14ac:dyDescent="0.3">
      <c r="K318" s="287"/>
      <c r="T318" s="280" t="s">
        <v>513</v>
      </c>
      <c r="U318" s="283">
        <v>0</v>
      </c>
      <c r="V318" s="280" t="s">
        <v>500</v>
      </c>
      <c r="W318" s="283">
        <v>0.40000000596046498</v>
      </c>
      <c r="X318" s="280" t="s">
        <v>331</v>
      </c>
      <c r="Y318" s="283">
        <v>0</v>
      </c>
      <c r="Z318" s="280" t="s">
        <v>445</v>
      </c>
      <c r="AA318" s="283">
        <v>0.259999990463257</v>
      </c>
      <c r="AB318" s="284" t="s">
        <v>363</v>
      </c>
      <c r="AC318" s="285">
        <v>0</v>
      </c>
      <c r="AE318" s="277" t="str">
        <f t="shared" ca="1" si="50"/>
        <v>EMASP, S. COOP.</v>
      </c>
      <c r="AF318" s="286">
        <f t="shared" ca="1" si="51"/>
        <v>0</v>
      </c>
    </row>
    <row r="319" spans="11:32" ht="16.5" x14ac:dyDescent="0.3">
      <c r="K319" s="287"/>
      <c r="T319" s="280" t="s">
        <v>514</v>
      </c>
      <c r="U319" s="283">
        <v>0.259999990463257</v>
      </c>
      <c r="V319" s="280" t="s">
        <v>503</v>
      </c>
      <c r="W319" s="283">
        <v>0</v>
      </c>
      <c r="X319" s="280" t="s">
        <v>463</v>
      </c>
      <c r="Y319" s="283">
        <v>0.36000001430511502</v>
      </c>
      <c r="Z319" s="280" t="s">
        <v>497</v>
      </c>
      <c r="AA319" s="283">
        <v>0.30000001192092901</v>
      </c>
      <c r="AB319" s="284" t="s">
        <v>468</v>
      </c>
      <c r="AC319" s="285">
        <v>0.25</v>
      </c>
      <c r="AE319" s="277" t="str">
        <f t="shared" ca="1" si="50"/>
        <v>EMPRESA DE ALUMBRADO ELECTRICO DE CEUTA, S.A.</v>
      </c>
      <c r="AF319" s="286">
        <f t="shared" ca="1" si="51"/>
        <v>0.25</v>
      </c>
    </row>
    <row r="320" spans="11:32" ht="16.5" x14ac:dyDescent="0.3">
      <c r="T320" s="280" t="s">
        <v>515</v>
      </c>
      <c r="U320" s="283">
        <v>0</v>
      </c>
      <c r="V320" s="280" t="s">
        <v>506</v>
      </c>
      <c r="W320" s="283">
        <v>0</v>
      </c>
      <c r="X320" s="280" t="s">
        <v>516</v>
      </c>
      <c r="Y320" s="283">
        <v>9.00000035762787E-2</v>
      </c>
      <c r="Z320" s="280" t="s">
        <v>453</v>
      </c>
      <c r="AA320" s="283">
        <v>0</v>
      </c>
      <c r="AB320" s="284" t="s">
        <v>296</v>
      </c>
      <c r="AC320" s="285">
        <v>0</v>
      </c>
      <c r="AE320" s="277" t="str">
        <f t="shared" ca="1" si="50"/>
        <v>ENARA GESTIÓN Y MEDIACIÓN, S.L.</v>
      </c>
      <c r="AF320" s="286">
        <f t="shared" ca="1" si="51"/>
        <v>0</v>
      </c>
    </row>
    <row r="321" spans="20:32" ht="16.5" x14ac:dyDescent="0.3">
      <c r="T321" s="280" t="s">
        <v>432</v>
      </c>
      <c r="U321" s="283">
        <v>0</v>
      </c>
      <c r="V321" s="280" t="s">
        <v>517</v>
      </c>
      <c r="W321" s="283">
        <v>0.40000000596046498</v>
      </c>
      <c r="X321" s="280" t="s">
        <v>465</v>
      </c>
      <c r="Y321" s="283">
        <v>0</v>
      </c>
      <c r="Z321" s="280" t="s">
        <v>455</v>
      </c>
      <c r="AA321" s="283">
        <v>0.17000000178813901</v>
      </c>
      <c r="AB321" s="284" t="s">
        <v>299</v>
      </c>
      <c r="AC321" s="285">
        <v>0.2</v>
      </c>
      <c r="AE321" s="277" t="str">
        <f t="shared" ca="1" si="50"/>
        <v>ENDESA ENERGÍA, S.A.</v>
      </c>
      <c r="AF321" s="286">
        <f t="shared" ca="1" si="51"/>
        <v>0.2</v>
      </c>
    </row>
    <row r="322" spans="20:32" ht="16.5" x14ac:dyDescent="0.3">
      <c r="T322" s="280" t="s">
        <v>518</v>
      </c>
      <c r="U322" s="283">
        <v>0</v>
      </c>
      <c r="V322" s="280" t="s">
        <v>509</v>
      </c>
      <c r="W322" s="283">
        <v>0</v>
      </c>
      <c r="X322" s="280" t="s">
        <v>467</v>
      </c>
      <c r="Y322" s="283">
        <v>0.34999999403953602</v>
      </c>
      <c r="Z322" s="280" t="s">
        <v>511</v>
      </c>
      <c r="AA322" s="283">
        <v>0.31000000238418601</v>
      </c>
      <c r="AB322" s="284" t="s">
        <v>519</v>
      </c>
      <c r="AC322" s="285">
        <v>0</v>
      </c>
      <c r="AE322" s="277" t="str">
        <f t="shared" ca="1" si="50"/>
        <v>ENDESA ENERGÍA RENOVABLE, S.L.</v>
      </c>
      <c r="AF322" s="286">
        <f t="shared" ca="1" si="51"/>
        <v>0</v>
      </c>
    </row>
    <row r="323" spans="20:32" ht="16.5" x14ac:dyDescent="0.3">
      <c r="T323" s="280" t="s">
        <v>434</v>
      </c>
      <c r="U323" s="283">
        <v>0</v>
      </c>
      <c r="V323" s="280" t="s">
        <v>512</v>
      </c>
      <c r="W323" s="283">
        <v>5.9999998658895499E-2</v>
      </c>
      <c r="X323" s="280" t="s">
        <v>466</v>
      </c>
      <c r="Y323" s="283">
        <v>0</v>
      </c>
      <c r="Z323" s="280" t="s">
        <v>305</v>
      </c>
      <c r="AA323" s="283">
        <v>0.20999999344348899</v>
      </c>
      <c r="AB323" s="284" t="s">
        <v>520</v>
      </c>
      <c r="AC323" s="285">
        <v>0</v>
      </c>
      <c r="AE323" s="277" t="str">
        <f t="shared" ca="1" si="50"/>
        <v>ENDI ENERGY TRADING SOCIEDAD LIMITADA</v>
      </c>
      <c r="AF323" s="286">
        <f t="shared" ca="1" si="51"/>
        <v>0</v>
      </c>
    </row>
    <row r="324" spans="20:32" ht="16.5" x14ac:dyDescent="0.3">
      <c r="T324" s="280" t="s">
        <v>521</v>
      </c>
      <c r="U324" s="283">
        <v>7.0000000298023196E-2</v>
      </c>
      <c r="V324" s="280" t="s">
        <v>513</v>
      </c>
      <c r="W324" s="283">
        <v>0</v>
      </c>
      <c r="X324" s="280" t="s">
        <v>308</v>
      </c>
      <c r="Y324" s="283">
        <v>0.25</v>
      </c>
      <c r="Z324" s="280" t="s">
        <v>522</v>
      </c>
      <c r="AA324" s="283">
        <v>0</v>
      </c>
      <c r="AB324" s="284" t="s">
        <v>486</v>
      </c>
      <c r="AC324" s="285">
        <v>0</v>
      </c>
      <c r="AE324" s="277" t="str">
        <f t="shared" ca="1" si="50"/>
        <v>ENELUZ 2025, S.L.</v>
      </c>
      <c r="AF324" s="286">
        <f t="shared" ca="1" si="51"/>
        <v>0</v>
      </c>
    </row>
    <row r="325" spans="20:32" ht="16.5" x14ac:dyDescent="0.3">
      <c r="T325" s="280" t="s">
        <v>523</v>
      </c>
      <c r="U325" s="283">
        <v>0</v>
      </c>
      <c r="V325" s="280" t="s">
        <v>524</v>
      </c>
      <c r="W325" s="283">
        <v>0</v>
      </c>
      <c r="X325" s="280" t="s">
        <v>471</v>
      </c>
      <c r="Y325" s="283">
        <v>0</v>
      </c>
      <c r="Z325" s="280" t="s">
        <v>331</v>
      </c>
      <c r="AA325" s="283">
        <v>0</v>
      </c>
      <c r="AB325" s="284" t="s">
        <v>312</v>
      </c>
      <c r="AC325" s="285">
        <v>0.21</v>
      </c>
      <c r="AE325" s="277" t="str">
        <f t="shared" ca="1" si="50"/>
        <v>ENERCOLUZ ENERGÍA, S.L.</v>
      </c>
      <c r="AF325" s="286">
        <f t="shared" ca="1" si="51"/>
        <v>0.21</v>
      </c>
    </row>
    <row r="326" spans="20:32" ht="16.5" x14ac:dyDescent="0.3">
      <c r="T326" s="280" t="s">
        <v>437</v>
      </c>
      <c r="U326" s="283">
        <v>0.30000001192092901</v>
      </c>
      <c r="V326" s="280" t="s">
        <v>514</v>
      </c>
      <c r="W326" s="283">
        <v>0.38999998569488498</v>
      </c>
      <c r="X326" s="280" t="s">
        <v>311</v>
      </c>
      <c r="Y326" s="283">
        <v>0.40999999642372098</v>
      </c>
      <c r="Z326" s="280" t="s">
        <v>525</v>
      </c>
      <c r="AA326" s="283">
        <v>0.28000000119209301</v>
      </c>
      <c r="AB326" s="284" t="s">
        <v>526</v>
      </c>
      <c r="AC326" s="285">
        <v>0</v>
      </c>
      <c r="AE326" s="277" t="str">
        <f t="shared" ca="1" si="50"/>
        <v>ENERGÍA NÓRDICA, GAS Y ELECTRICIDAD , SL</v>
      </c>
      <c r="AF326" s="286">
        <f t="shared" ca="1" si="51"/>
        <v>0</v>
      </c>
    </row>
    <row r="327" spans="20:32" ht="16.5" x14ac:dyDescent="0.3">
      <c r="T327" s="280" t="s">
        <v>350</v>
      </c>
      <c r="U327" s="283">
        <v>0</v>
      </c>
      <c r="V327" s="280" t="s">
        <v>527</v>
      </c>
      <c r="W327" s="283">
        <v>0</v>
      </c>
      <c r="X327" s="280" t="s">
        <v>470</v>
      </c>
      <c r="Y327" s="283">
        <v>0</v>
      </c>
      <c r="Z327" s="280" t="s">
        <v>516</v>
      </c>
      <c r="AA327" s="283">
        <v>0</v>
      </c>
      <c r="AB327" s="284" t="s">
        <v>528</v>
      </c>
      <c r="AC327" s="285">
        <v>0.03</v>
      </c>
      <c r="AE327" s="277" t="str">
        <f t="shared" ca="1" si="50"/>
        <v>ENERGÍA RIO EZKA-EZKA IBAIA ENERGÍA, S.L.</v>
      </c>
      <c r="AF327" s="286">
        <f t="shared" ca="1" si="51"/>
        <v>0.03</v>
      </c>
    </row>
    <row r="328" spans="20:32" ht="16.5" x14ac:dyDescent="0.3">
      <c r="T328" s="280" t="s">
        <v>442</v>
      </c>
      <c r="U328" s="283">
        <v>0</v>
      </c>
      <c r="V328" s="280" t="s">
        <v>432</v>
      </c>
      <c r="W328" s="283">
        <v>0</v>
      </c>
      <c r="X328" s="280" t="s">
        <v>320</v>
      </c>
      <c r="Y328" s="283">
        <v>0</v>
      </c>
      <c r="Z328" s="280" t="s">
        <v>529</v>
      </c>
      <c r="AA328" s="283">
        <v>0.31000000238418601</v>
      </c>
      <c r="AB328" s="284" t="s">
        <v>504</v>
      </c>
      <c r="AC328" s="285">
        <v>0</v>
      </c>
      <c r="AE328" s="277" t="str">
        <f t="shared" ca="1" si="50"/>
        <v>ENERGÍA VIVA SPAIN, S.L.</v>
      </c>
      <c r="AF328" s="286">
        <f t="shared" ca="1" si="51"/>
        <v>0</v>
      </c>
    </row>
    <row r="329" spans="20:32" ht="16.5" x14ac:dyDescent="0.3">
      <c r="T329" s="280" t="s">
        <v>530</v>
      </c>
      <c r="U329" s="283">
        <v>0.31000000238418601</v>
      </c>
      <c r="V329" s="280" t="s">
        <v>531</v>
      </c>
      <c r="W329" s="283">
        <v>0</v>
      </c>
      <c r="X329" s="280" t="s">
        <v>532</v>
      </c>
      <c r="Y329" s="283">
        <v>0</v>
      </c>
      <c r="Z329" s="280" t="s">
        <v>465</v>
      </c>
      <c r="AA329" s="283">
        <v>0</v>
      </c>
      <c r="AB329" s="284" t="s">
        <v>533</v>
      </c>
      <c r="AC329" s="285">
        <v>0</v>
      </c>
      <c r="AE329" s="277" t="str">
        <f t="shared" ca="1" si="50"/>
        <v>ENERGÍAS DE ESCARRILLA SL</v>
      </c>
      <c r="AF329" s="286">
        <f t="shared" ca="1" si="51"/>
        <v>0</v>
      </c>
    </row>
    <row r="330" spans="20:32" ht="16.5" x14ac:dyDescent="0.3">
      <c r="T330" s="280" t="s">
        <v>444</v>
      </c>
      <c r="U330" s="283">
        <v>0</v>
      </c>
      <c r="V330" s="280" t="s">
        <v>434</v>
      </c>
      <c r="W330" s="283">
        <v>0</v>
      </c>
      <c r="X330" s="280" t="s">
        <v>325</v>
      </c>
      <c r="Y330" s="283">
        <v>0</v>
      </c>
      <c r="Z330" s="280" t="s">
        <v>534</v>
      </c>
      <c r="AA330" s="283">
        <v>0</v>
      </c>
      <c r="AB330" s="284" t="s">
        <v>318</v>
      </c>
      <c r="AC330" s="285">
        <v>0.26</v>
      </c>
      <c r="AE330" s="277" t="str">
        <f t="shared" ca="1" si="50"/>
        <v>ENERGY BY COGEN, S.L.</v>
      </c>
      <c r="AF330" s="286">
        <f t="shared" ca="1" si="51"/>
        <v>0.26</v>
      </c>
    </row>
    <row r="331" spans="20:32" ht="16.5" x14ac:dyDescent="0.3">
      <c r="T331" s="280" t="s">
        <v>449</v>
      </c>
      <c r="U331" s="283">
        <v>0</v>
      </c>
      <c r="V331" s="280" t="s">
        <v>437</v>
      </c>
      <c r="W331" s="283">
        <v>0.31999999284744302</v>
      </c>
      <c r="X331" s="280" t="s">
        <v>476</v>
      </c>
      <c r="Y331" s="283">
        <v>0</v>
      </c>
      <c r="Z331" s="280" t="s">
        <v>467</v>
      </c>
      <c r="AA331" s="283">
        <v>0.270000010728836</v>
      </c>
      <c r="AB331" s="284" t="s">
        <v>375</v>
      </c>
      <c r="AC331" s="285">
        <v>0</v>
      </c>
      <c r="AE331" s="277" t="str">
        <f t="shared" ca="1" si="50"/>
        <v>ENERGY STROM XXI, S.L.</v>
      </c>
      <c r="AF331" s="286">
        <f t="shared" ca="1" si="51"/>
        <v>0</v>
      </c>
    </row>
    <row r="332" spans="20:32" ht="16.5" x14ac:dyDescent="0.3">
      <c r="T332" s="280" t="s">
        <v>402</v>
      </c>
      <c r="U332" s="283">
        <v>0</v>
      </c>
      <c r="V332" s="280" t="s">
        <v>350</v>
      </c>
      <c r="W332" s="283">
        <v>0</v>
      </c>
      <c r="X332" s="280" t="s">
        <v>407</v>
      </c>
      <c r="Y332" s="283">
        <v>0</v>
      </c>
      <c r="Z332" s="280" t="s">
        <v>466</v>
      </c>
      <c r="AA332" s="283">
        <v>0</v>
      </c>
      <c r="AB332" s="284" t="s">
        <v>377</v>
      </c>
      <c r="AC332" s="285">
        <v>0</v>
      </c>
      <c r="AE332" s="277" t="str">
        <f t="shared" ca="1" si="50"/>
        <v>ENERGÍA COLECTIVA, S.L.</v>
      </c>
      <c r="AF332" s="286">
        <f t="shared" ca="1" si="51"/>
        <v>0</v>
      </c>
    </row>
    <row r="333" spans="20:32" ht="16.5" x14ac:dyDescent="0.3">
      <c r="T333" s="280" t="s">
        <v>535</v>
      </c>
      <c r="U333" s="283">
        <v>0</v>
      </c>
      <c r="V333" s="280" t="s">
        <v>536</v>
      </c>
      <c r="W333" s="283">
        <v>0</v>
      </c>
      <c r="X333" s="280" t="s">
        <v>351</v>
      </c>
      <c r="Y333" s="283">
        <v>0</v>
      </c>
      <c r="Z333" s="280" t="s">
        <v>308</v>
      </c>
      <c r="AA333" s="283">
        <v>0.20999999344348899</v>
      </c>
      <c r="AB333" s="284" t="s">
        <v>537</v>
      </c>
      <c r="AC333" s="285">
        <v>0</v>
      </c>
      <c r="AE333" s="277" t="str">
        <f t="shared" ca="1" si="50"/>
        <v>ENERGÍA COSTA DORADA SL</v>
      </c>
      <c r="AF333" s="286">
        <f t="shared" ca="1" si="51"/>
        <v>0</v>
      </c>
    </row>
    <row r="334" spans="20:32" ht="16.5" x14ac:dyDescent="0.3">
      <c r="T334" s="280" t="s">
        <v>538</v>
      </c>
      <c r="U334" s="283">
        <v>0</v>
      </c>
      <c r="V334" s="280" t="s">
        <v>442</v>
      </c>
      <c r="W334" s="283">
        <v>0</v>
      </c>
      <c r="X334" s="280" t="s">
        <v>539</v>
      </c>
      <c r="Y334" s="283">
        <v>0.40999999642372098</v>
      </c>
      <c r="Z334" s="280" t="s">
        <v>470</v>
      </c>
      <c r="AA334" s="283">
        <v>0</v>
      </c>
      <c r="AB334" s="284" t="s">
        <v>439</v>
      </c>
      <c r="AC334" s="285">
        <v>0.22</v>
      </c>
      <c r="AE334" s="277" t="str">
        <f t="shared" ca="1" si="50"/>
        <v>ENERGÍA DLR COMERCIALIZADORA, S.L.</v>
      </c>
      <c r="AF334" s="286">
        <f t="shared" ca="1" si="51"/>
        <v>0.22</v>
      </c>
    </row>
    <row r="335" spans="20:32" ht="16.5" x14ac:dyDescent="0.3">
      <c r="T335" s="280" t="s">
        <v>406</v>
      </c>
      <c r="U335" s="283">
        <v>0</v>
      </c>
      <c r="V335" s="280" t="s">
        <v>540</v>
      </c>
      <c r="W335" s="283">
        <v>0.38999998569488498</v>
      </c>
      <c r="X335" s="280" t="s">
        <v>541</v>
      </c>
      <c r="Y335" s="283">
        <v>0</v>
      </c>
      <c r="Z335" s="280" t="s">
        <v>320</v>
      </c>
      <c r="AA335" s="283">
        <v>0</v>
      </c>
      <c r="AB335" s="284" t="s">
        <v>485</v>
      </c>
      <c r="AC335" s="285">
        <v>0</v>
      </c>
      <c r="AE335" s="277" t="str">
        <f t="shared" ca="1" si="50"/>
        <v>ENERGÍA ELÉCTRICA EFICIENTE, S.L</v>
      </c>
      <c r="AF335" s="286">
        <f t="shared" ca="1" si="51"/>
        <v>0</v>
      </c>
    </row>
    <row r="336" spans="20:32" ht="16.5" x14ac:dyDescent="0.3">
      <c r="T336" s="280" t="s">
        <v>542</v>
      </c>
      <c r="U336" s="283">
        <v>0.28000000119209301</v>
      </c>
      <c r="V336" s="280" t="s">
        <v>444</v>
      </c>
      <c r="W336" s="283">
        <v>0</v>
      </c>
      <c r="X336" s="280" t="s">
        <v>543</v>
      </c>
      <c r="Y336" s="283">
        <v>0</v>
      </c>
      <c r="Z336" s="280" t="s">
        <v>532</v>
      </c>
      <c r="AA336" s="283">
        <v>0</v>
      </c>
      <c r="AB336" s="284" t="s">
        <v>482</v>
      </c>
      <c r="AC336" s="285">
        <v>0.25</v>
      </c>
      <c r="AE336" s="277" t="str">
        <f t="shared" ca="1" si="50"/>
        <v>ENERGÍA NUFRI, S.L.U.</v>
      </c>
      <c r="AF336" s="286">
        <f t="shared" ca="1" si="51"/>
        <v>0.25</v>
      </c>
    </row>
    <row r="337" spans="20:32" ht="16.5" x14ac:dyDescent="0.3">
      <c r="T337" s="280" t="s">
        <v>544</v>
      </c>
      <c r="U337" s="283">
        <v>0.259999990463257</v>
      </c>
      <c r="V337" s="280" t="s">
        <v>449</v>
      </c>
      <c r="W337" s="283">
        <v>0</v>
      </c>
      <c r="X337" s="280" t="s">
        <v>362</v>
      </c>
      <c r="Y337" s="283">
        <v>0</v>
      </c>
      <c r="Z337" s="280" t="s">
        <v>325</v>
      </c>
      <c r="AA337" s="283">
        <v>0</v>
      </c>
      <c r="AB337" s="284" t="s">
        <v>545</v>
      </c>
      <c r="AC337" s="285">
        <v>0</v>
      </c>
      <c r="AE337" s="277" t="str">
        <f t="shared" ca="1" si="50"/>
        <v>ENERGÍAS DE PANTICOSA COMERCIALIZADORA, S.L.</v>
      </c>
      <c r="AF337" s="286">
        <f t="shared" ca="1" si="51"/>
        <v>0</v>
      </c>
    </row>
    <row r="338" spans="20:32" ht="16.5" x14ac:dyDescent="0.3">
      <c r="T338" s="280" t="s">
        <v>457</v>
      </c>
      <c r="U338" s="283">
        <v>0</v>
      </c>
      <c r="V338" s="280" t="s">
        <v>402</v>
      </c>
      <c r="W338" s="283">
        <v>0</v>
      </c>
      <c r="X338" s="280" t="s">
        <v>334</v>
      </c>
      <c r="Y338" s="283">
        <v>0</v>
      </c>
      <c r="Z338" s="280" t="s">
        <v>476</v>
      </c>
      <c r="AA338" s="283">
        <v>0</v>
      </c>
      <c r="AB338" s="284" t="s">
        <v>381</v>
      </c>
      <c r="AC338" s="285">
        <v>0.23</v>
      </c>
      <c r="AE338" s="277" t="str">
        <f t="shared" ca="1" si="50"/>
        <v>ENERPLUS ENERGÍA, S.A.</v>
      </c>
      <c r="AF338" s="286">
        <f t="shared" ca="1" si="51"/>
        <v>0.23</v>
      </c>
    </row>
    <row r="339" spans="20:32" ht="16.5" x14ac:dyDescent="0.3">
      <c r="T339" s="280" t="s">
        <v>546</v>
      </c>
      <c r="U339" s="283">
        <v>0</v>
      </c>
      <c r="V339" s="280" t="s">
        <v>535</v>
      </c>
      <c r="W339" s="283">
        <v>0</v>
      </c>
      <c r="X339" s="280" t="s">
        <v>380</v>
      </c>
      <c r="Y339" s="283">
        <v>0.270000010728836</v>
      </c>
      <c r="Z339" s="280" t="s">
        <v>547</v>
      </c>
      <c r="AA339" s="283">
        <v>0.21999999880790699</v>
      </c>
      <c r="AB339" s="284" t="s">
        <v>445</v>
      </c>
      <c r="AC339" s="285">
        <v>0.2</v>
      </c>
      <c r="AE339" s="277" t="str">
        <f t="shared" ca="1" si="50"/>
        <v>ENGIE ESPAÑA, S.L.U.</v>
      </c>
      <c r="AF339" s="286">
        <f t="shared" ca="1" si="51"/>
        <v>0.2</v>
      </c>
    </row>
    <row r="340" spans="20:32" ht="16.5" x14ac:dyDescent="0.3">
      <c r="T340" s="280" t="s">
        <v>369</v>
      </c>
      <c r="U340" s="283">
        <v>0</v>
      </c>
      <c r="V340" s="280" t="s">
        <v>406</v>
      </c>
      <c r="W340" s="283">
        <v>0</v>
      </c>
      <c r="X340" s="280" t="s">
        <v>548</v>
      </c>
      <c r="Y340" s="283">
        <v>0</v>
      </c>
      <c r="Z340" s="280" t="s">
        <v>407</v>
      </c>
      <c r="AA340" s="283">
        <v>0</v>
      </c>
      <c r="AB340" s="284" t="s">
        <v>497</v>
      </c>
      <c r="AC340" s="285">
        <v>0.24</v>
      </c>
      <c r="AE340" s="277" t="str">
        <f t="shared" ca="1" si="50"/>
        <v>ENSTROGA, S.L.</v>
      </c>
      <c r="AF340" s="286">
        <f t="shared" ca="1" si="51"/>
        <v>0.24</v>
      </c>
    </row>
    <row r="341" spans="20:32" ht="16.5" x14ac:dyDescent="0.3">
      <c r="T341" s="289" t="s">
        <v>361</v>
      </c>
      <c r="U341" s="283">
        <v>0.36</v>
      </c>
      <c r="V341" s="280" t="s">
        <v>542</v>
      </c>
      <c r="W341" s="283">
        <v>0.37000000476837203</v>
      </c>
      <c r="X341" s="280" t="s">
        <v>549</v>
      </c>
      <c r="Y341" s="283">
        <v>0</v>
      </c>
      <c r="Z341" s="280" t="s">
        <v>351</v>
      </c>
      <c r="AA341" s="283">
        <v>0</v>
      </c>
      <c r="AB341" s="284" t="s">
        <v>550</v>
      </c>
      <c r="AC341" s="285">
        <v>0.2</v>
      </c>
      <c r="AE341" s="277" t="str">
        <f t="shared" ca="1" si="50"/>
        <v>ENERGYA VM GESTIÓN DE ENERGÍA, S.L.U.</v>
      </c>
      <c r="AF341" s="286">
        <f t="shared" ca="1" si="51"/>
        <v>0.2</v>
      </c>
    </row>
    <row r="342" spans="20:32" ht="16.5" x14ac:dyDescent="0.3">
      <c r="T342" s="289" t="s">
        <v>368</v>
      </c>
      <c r="U342" s="283">
        <v>0.36</v>
      </c>
      <c r="V342" s="280" t="s">
        <v>551</v>
      </c>
      <c r="W342" s="283">
        <v>0.31999999284744302</v>
      </c>
      <c r="X342" s="280" t="s">
        <v>552</v>
      </c>
      <c r="Y342" s="283">
        <v>0.40999999642372098</v>
      </c>
      <c r="Z342" s="280" t="s">
        <v>539</v>
      </c>
      <c r="AA342" s="283">
        <v>0.31000000238418601</v>
      </c>
      <c r="AB342" s="284" t="s">
        <v>451</v>
      </c>
      <c r="AC342" s="285">
        <v>0</v>
      </c>
      <c r="AE342" s="277" t="str">
        <f t="shared" ca="1" si="50"/>
        <v>EPRESA ENERGÍA, S.A.U.</v>
      </c>
      <c r="AF342" s="286">
        <f t="shared" ca="1" si="51"/>
        <v>0</v>
      </c>
    </row>
    <row r="343" spans="20:32" ht="16.5" x14ac:dyDescent="0.3">
      <c r="V343" s="280" t="s">
        <v>457</v>
      </c>
      <c r="W343" s="283">
        <v>0</v>
      </c>
      <c r="X343" s="280" t="s">
        <v>488</v>
      </c>
      <c r="Y343" s="283">
        <v>0.31000000238418601</v>
      </c>
      <c r="Z343" s="280" t="s">
        <v>541</v>
      </c>
      <c r="AA343" s="283">
        <v>0</v>
      </c>
      <c r="AB343" s="284" t="s">
        <v>453</v>
      </c>
      <c r="AC343" s="285">
        <v>0</v>
      </c>
      <c r="AE343" s="277" t="str">
        <f t="shared" ca="1" si="50"/>
        <v>ESTABANELL Y PAHISA MERCATOR, S.A.</v>
      </c>
      <c r="AF343" s="286">
        <f t="shared" ca="1" si="51"/>
        <v>0</v>
      </c>
    </row>
    <row r="344" spans="20:32" ht="16.5" x14ac:dyDescent="0.3">
      <c r="V344" s="280" t="s">
        <v>546</v>
      </c>
      <c r="W344" s="283">
        <v>0.18000000715255701</v>
      </c>
      <c r="X344" s="280" t="s">
        <v>417</v>
      </c>
      <c r="Y344" s="283">
        <v>0.31000000238418601</v>
      </c>
      <c r="Z344" s="280" t="s">
        <v>543</v>
      </c>
      <c r="AA344" s="283">
        <v>0</v>
      </c>
      <c r="AB344" s="284" t="s">
        <v>455</v>
      </c>
      <c r="AC344" s="285">
        <v>0.18</v>
      </c>
      <c r="AE344" s="277" t="str">
        <f t="shared" ca="1" si="50"/>
        <v>ESTRATEGIAS ELÉCTRICAS INTEGRALES, S.A.</v>
      </c>
      <c r="AF344" s="286">
        <f t="shared" ca="1" si="51"/>
        <v>0.18</v>
      </c>
    </row>
    <row r="345" spans="20:32" ht="16.5" x14ac:dyDescent="0.3">
      <c r="V345" s="289" t="s">
        <v>361</v>
      </c>
      <c r="W345" s="283">
        <v>0.43</v>
      </c>
      <c r="X345" s="280" t="s">
        <v>553</v>
      </c>
      <c r="Y345" s="283">
        <v>0.40999999642372098</v>
      </c>
      <c r="Z345" s="280" t="s">
        <v>362</v>
      </c>
      <c r="AA345" s="283">
        <v>0</v>
      </c>
      <c r="AB345" s="284" t="s">
        <v>554</v>
      </c>
      <c r="AC345" s="285">
        <v>0</v>
      </c>
      <c r="AE345" s="277" t="str">
        <f t="shared" ca="1" si="50"/>
        <v>ETERNAL ENERGY S.L.</v>
      </c>
      <c r="AF345" s="286">
        <f t="shared" ca="1" si="51"/>
        <v>0</v>
      </c>
    </row>
    <row r="346" spans="20:32" ht="16.5" x14ac:dyDescent="0.3">
      <c r="V346" s="289" t="s">
        <v>368</v>
      </c>
      <c r="W346" s="283">
        <v>0.43</v>
      </c>
      <c r="X346" s="280" t="s">
        <v>418</v>
      </c>
      <c r="Y346" s="283">
        <v>0</v>
      </c>
      <c r="Z346" s="280" t="s">
        <v>334</v>
      </c>
      <c r="AA346" s="283">
        <v>0</v>
      </c>
      <c r="AB346" s="284" t="s">
        <v>511</v>
      </c>
      <c r="AC346" s="285">
        <v>0.25</v>
      </c>
      <c r="AE346" s="277" t="str">
        <f t="shared" ca="1" si="50"/>
        <v>EVERGREEN ELÉCTRICA, S.L.</v>
      </c>
      <c r="AF346" s="286">
        <f t="shared" ca="1" si="51"/>
        <v>0.25</v>
      </c>
    </row>
    <row r="347" spans="20:32" ht="16.5" x14ac:dyDescent="0.3">
      <c r="X347" s="280" t="s">
        <v>555</v>
      </c>
      <c r="Y347" s="283">
        <v>0.40999999642372098</v>
      </c>
      <c r="Z347" s="280" t="s">
        <v>556</v>
      </c>
      <c r="AA347" s="283">
        <v>0</v>
      </c>
      <c r="AB347" s="284" t="s">
        <v>305</v>
      </c>
      <c r="AC347" s="285">
        <v>0.16</v>
      </c>
      <c r="AE347" s="277" t="str">
        <f t="shared" ca="1" si="50"/>
        <v>FACTOR ENERGÍA, S.A.</v>
      </c>
      <c r="AF347" s="286">
        <f t="shared" ca="1" si="51"/>
        <v>0.16</v>
      </c>
    </row>
    <row r="348" spans="20:32" ht="16.5" x14ac:dyDescent="0.3">
      <c r="X348" s="280" t="s">
        <v>487</v>
      </c>
      <c r="Y348" s="283">
        <v>0.40999999642372098</v>
      </c>
      <c r="Z348" s="280" t="s">
        <v>380</v>
      </c>
      <c r="AA348" s="283">
        <v>0.20000000298023199</v>
      </c>
      <c r="AB348" s="284" t="s">
        <v>557</v>
      </c>
      <c r="AC348" s="285">
        <v>0</v>
      </c>
      <c r="AE348" s="277" t="str">
        <f t="shared" ca="1" si="50"/>
        <v>FACTOR INTEGRAL TRADING SERVICES SAU</v>
      </c>
      <c r="AF348" s="286">
        <f t="shared" ca="1" si="51"/>
        <v>0</v>
      </c>
    </row>
    <row r="349" spans="20:32" ht="16.5" x14ac:dyDescent="0.3">
      <c r="X349" s="280" t="s">
        <v>499</v>
      </c>
      <c r="Y349" s="283">
        <v>9.9999997764825804E-3</v>
      </c>
      <c r="Z349" s="280" t="s">
        <v>548</v>
      </c>
      <c r="AA349" s="283">
        <v>0</v>
      </c>
      <c r="AB349" s="284" t="s">
        <v>558</v>
      </c>
      <c r="AC349" s="285">
        <v>0</v>
      </c>
      <c r="AE349" s="277" t="str">
        <f t="shared" ca="1" si="50"/>
        <v>FAIN ENERGÍA, S.L.</v>
      </c>
      <c r="AF349" s="286">
        <f t="shared" ca="1" si="51"/>
        <v>0</v>
      </c>
    </row>
    <row r="350" spans="20:32" ht="16.5" x14ac:dyDescent="0.3">
      <c r="X350" s="280" t="s">
        <v>559</v>
      </c>
      <c r="Y350" s="283">
        <v>0</v>
      </c>
      <c r="Z350" s="280" t="s">
        <v>549</v>
      </c>
      <c r="AA350" s="283">
        <v>0</v>
      </c>
      <c r="AB350" s="284" t="s">
        <v>331</v>
      </c>
      <c r="AC350" s="285">
        <v>0</v>
      </c>
      <c r="AE350" s="277" t="str">
        <f t="shared" ca="1" si="50"/>
        <v>FENIE ENERGÍA, S.A.</v>
      </c>
      <c r="AF350" s="286">
        <f t="shared" ca="1" si="51"/>
        <v>0</v>
      </c>
    </row>
    <row r="351" spans="20:32" ht="16.5" x14ac:dyDescent="0.3">
      <c r="X351" s="280" t="s">
        <v>560</v>
      </c>
      <c r="Y351" s="283">
        <v>0</v>
      </c>
      <c r="Z351" s="280" t="s">
        <v>552</v>
      </c>
      <c r="AA351" s="283">
        <v>0.31000000238418601</v>
      </c>
      <c r="AB351" s="284" t="s">
        <v>561</v>
      </c>
      <c r="AC351" s="285">
        <v>0.24</v>
      </c>
      <c r="AE351" s="277" t="str">
        <f t="shared" ref="AE351:AE414" ca="1" si="52">INDIRECT("_Com"&amp;$F$2)</f>
        <v>FORTIA ENERGÍA, S.L.</v>
      </c>
      <c r="AF351" s="286">
        <f t="shared" ref="AF351:AF414" ca="1" si="53">INDIRECT("_Mix"&amp;$F$2)</f>
        <v>0.24</v>
      </c>
    </row>
    <row r="352" spans="20:32" ht="16.5" x14ac:dyDescent="0.3">
      <c r="X352" s="280" t="s">
        <v>492</v>
      </c>
      <c r="Y352" s="283">
        <v>0.34000000357627902</v>
      </c>
      <c r="Z352" s="280" t="s">
        <v>488</v>
      </c>
      <c r="AA352" s="283">
        <v>0</v>
      </c>
      <c r="AB352" s="284" t="s">
        <v>516</v>
      </c>
      <c r="AC352" s="285">
        <v>0</v>
      </c>
      <c r="AE352" s="277" t="str">
        <f t="shared" ca="1" si="52"/>
        <v>FORZA VSUNAIR, S.L.</v>
      </c>
      <c r="AF352" s="286">
        <f t="shared" ca="1" si="53"/>
        <v>0</v>
      </c>
    </row>
    <row r="353" spans="24:32" ht="16.5" x14ac:dyDescent="0.3">
      <c r="X353" s="280" t="s">
        <v>507</v>
      </c>
      <c r="Y353" s="283">
        <v>0</v>
      </c>
      <c r="Z353" s="280" t="s">
        <v>417</v>
      </c>
      <c r="AA353" s="283">
        <v>0.129999995231628</v>
      </c>
      <c r="AB353" s="284" t="s">
        <v>562</v>
      </c>
      <c r="AC353" s="285">
        <v>0.31</v>
      </c>
      <c r="AE353" s="277" t="str">
        <f t="shared" ca="1" si="52"/>
        <v>FOX ENERGÍA S.A</v>
      </c>
      <c r="AF353" s="286">
        <f t="shared" ca="1" si="53"/>
        <v>0.31</v>
      </c>
    </row>
    <row r="354" spans="24:32" ht="16.5" x14ac:dyDescent="0.3">
      <c r="X354" s="280" t="s">
        <v>563</v>
      </c>
      <c r="Y354" s="283">
        <v>0</v>
      </c>
      <c r="Z354" s="280" t="s">
        <v>553</v>
      </c>
      <c r="AA354" s="283">
        <v>0.28999999165535001</v>
      </c>
      <c r="AB354" s="284" t="s">
        <v>465</v>
      </c>
      <c r="AC354" s="285">
        <v>0</v>
      </c>
      <c r="AE354" s="277" t="str">
        <f t="shared" ca="1" si="52"/>
        <v>FUSIONA COMERCIALIZADORA, S.A.</v>
      </c>
      <c r="AF354" s="286">
        <f t="shared" ca="1" si="53"/>
        <v>0</v>
      </c>
    </row>
    <row r="355" spans="24:32" ht="16.5" x14ac:dyDescent="0.3">
      <c r="X355" s="280" t="s">
        <v>564</v>
      </c>
      <c r="Y355" s="283">
        <v>2.9999999329447701E-2</v>
      </c>
      <c r="Z355" s="280" t="s">
        <v>418</v>
      </c>
      <c r="AA355" s="283">
        <v>0</v>
      </c>
      <c r="AB355" s="284" t="s">
        <v>565</v>
      </c>
      <c r="AC355" s="285">
        <v>0.21</v>
      </c>
      <c r="AE355" s="277" t="str">
        <f t="shared" ca="1" si="52"/>
        <v>FOENER ENERGÍA, S.L</v>
      </c>
      <c r="AF355" s="286">
        <f t="shared" ca="1" si="53"/>
        <v>0.21</v>
      </c>
    </row>
    <row r="356" spans="24:32" ht="16.5" x14ac:dyDescent="0.3">
      <c r="X356" s="280" t="s">
        <v>510</v>
      </c>
      <c r="Y356" s="283">
        <v>0.31000000238418601</v>
      </c>
      <c r="Z356" s="280" t="s">
        <v>566</v>
      </c>
      <c r="AA356" s="283">
        <v>0</v>
      </c>
      <c r="AB356" s="284" t="s">
        <v>534</v>
      </c>
      <c r="AC356" s="285">
        <v>0</v>
      </c>
      <c r="AE356" s="277" t="str">
        <f t="shared" ca="1" si="52"/>
        <v>GAIA GLOBAL ENERGY SOCIEDAD LIMITADA</v>
      </c>
      <c r="AF356" s="286">
        <f t="shared" ca="1" si="53"/>
        <v>0</v>
      </c>
    </row>
    <row r="357" spans="24:32" ht="16.5" x14ac:dyDescent="0.3">
      <c r="X357" s="280" t="s">
        <v>343</v>
      </c>
      <c r="Y357" s="283">
        <v>0</v>
      </c>
      <c r="Z357" s="280" t="s">
        <v>487</v>
      </c>
      <c r="AA357" s="283">
        <v>0.31000000238418601</v>
      </c>
      <c r="AB357" s="284" t="s">
        <v>467</v>
      </c>
      <c r="AC357" s="285">
        <v>0.24</v>
      </c>
      <c r="AE357" s="277" t="str">
        <f t="shared" ca="1" si="52"/>
        <v>GALP ENERGÍA ESPAÑA S.A.U.</v>
      </c>
      <c r="AF357" s="286">
        <f t="shared" ca="1" si="53"/>
        <v>0.24</v>
      </c>
    </row>
    <row r="358" spans="24:32" ht="16.5" x14ac:dyDescent="0.3">
      <c r="X358" s="280" t="s">
        <v>500</v>
      </c>
      <c r="Y358" s="283">
        <v>0.37000000476837203</v>
      </c>
      <c r="Z358" s="280" t="s">
        <v>555</v>
      </c>
      <c r="AA358" s="283">
        <v>0.30000001192092901</v>
      </c>
      <c r="AB358" s="284" t="s">
        <v>466</v>
      </c>
      <c r="AC358" s="285">
        <v>0</v>
      </c>
      <c r="AE358" s="277" t="str">
        <f t="shared" ca="1" si="52"/>
        <v>GAOLANIA SERVICIOS, S.L.</v>
      </c>
      <c r="AF358" s="286">
        <f t="shared" ca="1" si="53"/>
        <v>0</v>
      </c>
    </row>
    <row r="359" spans="24:32" ht="16.5" x14ac:dyDescent="0.3">
      <c r="X359" s="280" t="s">
        <v>503</v>
      </c>
      <c r="Y359" s="283">
        <v>0</v>
      </c>
      <c r="Z359" s="280" t="s">
        <v>567</v>
      </c>
      <c r="AA359" s="283">
        <v>0</v>
      </c>
      <c r="AB359" s="284" t="s">
        <v>308</v>
      </c>
      <c r="AC359" s="285">
        <v>0.14000000000000001</v>
      </c>
      <c r="AE359" s="277" t="str">
        <f t="shared" ca="1" si="52"/>
        <v>GAS NATURAL COMERCIALIZADORA, S.A.</v>
      </c>
      <c r="AF359" s="286">
        <f t="shared" ca="1" si="53"/>
        <v>0.14000000000000001</v>
      </c>
    </row>
    <row r="360" spans="24:32" ht="16.5" x14ac:dyDescent="0.3">
      <c r="X360" s="280" t="s">
        <v>506</v>
      </c>
      <c r="Y360" s="283">
        <v>0</v>
      </c>
      <c r="Z360" s="280" t="s">
        <v>499</v>
      </c>
      <c r="AA360" s="283">
        <v>0.109999999403954</v>
      </c>
      <c r="AB360" s="284" t="s">
        <v>568</v>
      </c>
      <c r="AC360" s="285">
        <v>0</v>
      </c>
      <c r="AE360" s="277" t="str">
        <f t="shared" ca="1" si="52"/>
        <v>GASILUZ ECO ENERCIA S.L.</v>
      </c>
      <c r="AF360" s="286">
        <f t="shared" ca="1" si="53"/>
        <v>0</v>
      </c>
    </row>
    <row r="361" spans="24:32" ht="16.5" x14ac:dyDescent="0.3">
      <c r="X361" s="280" t="s">
        <v>509</v>
      </c>
      <c r="Y361" s="283">
        <v>0</v>
      </c>
      <c r="Z361" s="280" t="s">
        <v>569</v>
      </c>
      <c r="AA361" s="283">
        <v>0</v>
      </c>
      <c r="AB361" s="284" t="s">
        <v>470</v>
      </c>
      <c r="AC361" s="285">
        <v>0</v>
      </c>
      <c r="AE361" s="277" t="str">
        <f t="shared" ca="1" si="52"/>
        <v>GEO ALTERNATIVA, S.L.</v>
      </c>
      <c r="AF361" s="286">
        <f t="shared" ca="1" si="53"/>
        <v>0</v>
      </c>
    </row>
    <row r="362" spans="24:32" ht="16.5" x14ac:dyDescent="0.3">
      <c r="X362" s="280" t="s">
        <v>512</v>
      </c>
      <c r="Y362" s="283">
        <v>0</v>
      </c>
      <c r="Z362" s="280" t="s">
        <v>570</v>
      </c>
      <c r="AA362" s="283">
        <v>0</v>
      </c>
      <c r="AB362" s="284" t="s">
        <v>320</v>
      </c>
      <c r="AC362" s="285">
        <v>0</v>
      </c>
      <c r="AE362" s="277" t="str">
        <f t="shared" ca="1" si="52"/>
        <v>GEOATLANTER, S.L.</v>
      </c>
      <c r="AF362" s="286">
        <f t="shared" ca="1" si="53"/>
        <v>0</v>
      </c>
    </row>
    <row r="363" spans="24:32" ht="16.5" x14ac:dyDescent="0.3">
      <c r="X363" s="280" t="s">
        <v>513</v>
      </c>
      <c r="Y363" s="283">
        <v>0</v>
      </c>
      <c r="Z363" s="280" t="s">
        <v>559</v>
      </c>
      <c r="AA363" s="283">
        <v>0</v>
      </c>
      <c r="AB363" s="284" t="s">
        <v>532</v>
      </c>
      <c r="AC363" s="285">
        <v>0</v>
      </c>
      <c r="AE363" s="277" t="str">
        <f t="shared" ca="1" si="52"/>
        <v>GERENTA ENERGÍA, S.L.U</v>
      </c>
      <c r="AF363" s="286">
        <f t="shared" ca="1" si="53"/>
        <v>0</v>
      </c>
    </row>
    <row r="364" spans="24:32" ht="16.5" x14ac:dyDescent="0.3">
      <c r="X364" s="280" t="s">
        <v>524</v>
      </c>
      <c r="Y364" s="283">
        <v>0</v>
      </c>
      <c r="Z364" s="280" t="s">
        <v>492</v>
      </c>
      <c r="AA364" s="283">
        <v>0.25</v>
      </c>
      <c r="AB364" s="284" t="s">
        <v>325</v>
      </c>
      <c r="AC364" s="285">
        <v>0</v>
      </c>
      <c r="AE364" s="277" t="str">
        <f t="shared" ca="1" si="52"/>
        <v>GESTERNOVA, S.A.</v>
      </c>
      <c r="AF364" s="286">
        <f t="shared" ca="1" si="53"/>
        <v>0</v>
      </c>
    </row>
    <row r="365" spans="24:32" ht="16.5" x14ac:dyDescent="0.3">
      <c r="X365" s="280" t="s">
        <v>514</v>
      </c>
      <c r="Y365" s="283">
        <v>0.38999998569488498</v>
      </c>
      <c r="Z365" s="280" t="s">
        <v>571</v>
      </c>
      <c r="AA365" s="283">
        <v>0</v>
      </c>
      <c r="AB365" s="284" t="s">
        <v>572</v>
      </c>
      <c r="AC365" s="285">
        <v>0</v>
      </c>
      <c r="AE365" s="277" t="str">
        <f t="shared" ca="1" si="52"/>
        <v>GESTINER INGENIEROS, S.L.</v>
      </c>
      <c r="AF365" s="286">
        <f t="shared" ca="1" si="53"/>
        <v>0</v>
      </c>
    </row>
    <row r="366" spans="24:32" ht="16.5" x14ac:dyDescent="0.3">
      <c r="X366" s="280" t="s">
        <v>515</v>
      </c>
      <c r="Y366" s="283">
        <v>0</v>
      </c>
      <c r="Z366" s="280" t="s">
        <v>507</v>
      </c>
      <c r="AA366" s="283">
        <v>0</v>
      </c>
      <c r="AB366" s="284" t="s">
        <v>476</v>
      </c>
      <c r="AC366" s="285">
        <v>0</v>
      </c>
      <c r="AE366" s="277" t="str">
        <f t="shared" ca="1" si="52"/>
        <v>GLOBAL BIOSFERA PROTEC, S.L.</v>
      </c>
      <c r="AF366" s="286">
        <f t="shared" ca="1" si="53"/>
        <v>0</v>
      </c>
    </row>
    <row r="367" spans="24:32" ht="16.5" x14ac:dyDescent="0.3">
      <c r="X367" s="280" t="s">
        <v>432</v>
      </c>
      <c r="Y367" s="283">
        <v>0</v>
      </c>
      <c r="Z367" s="280" t="s">
        <v>573</v>
      </c>
      <c r="AA367" s="283">
        <v>0.28000000119209301</v>
      </c>
      <c r="AB367" s="284" t="s">
        <v>547</v>
      </c>
      <c r="AC367" s="285">
        <v>0.23</v>
      </c>
      <c r="AE367" s="277" t="str">
        <f t="shared" ca="1" si="52"/>
        <v>GLOBELIGHT ENERGY S.L</v>
      </c>
      <c r="AF367" s="286">
        <f t="shared" ca="1" si="53"/>
        <v>0.23</v>
      </c>
    </row>
    <row r="368" spans="24:32" ht="16.5" x14ac:dyDescent="0.3">
      <c r="X368" s="280" t="s">
        <v>518</v>
      </c>
      <c r="Y368" s="283">
        <v>0</v>
      </c>
      <c r="Z368" s="280" t="s">
        <v>563</v>
      </c>
      <c r="AA368" s="283">
        <v>0</v>
      </c>
      <c r="AB368" s="284" t="s">
        <v>481</v>
      </c>
      <c r="AC368" s="285">
        <v>0</v>
      </c>
      <c r="AE368" s="277" t="str">
        <f t="shared" ca="1" si="52"/>
        <v>GNERA ENERGÍA Y TECNOLOGÍA, S.L.</v>
      </c>
      <c r="AF368" s="286">
        <f t="shared" ca="1" si="53"/>
        <v>0</v>
      </c>
    </row>
    <row r="369" spans="24:32" ht="16.5" x14ac:dyDescent="0.3">
      <c r="X369" s="280" t="s">
        <v>574</v>
      </c>
      <c r="Y369" s="283">
        <v>0.239999994635582</v>
      </c>
      <c r="Z369" s="280" t="s">
        <v>564</v>
      </c>
      <c r="AA369" s="283">
        <v>0</v>
      </c>
      <c r="AB369" s="284" t="s">
        <v>351</v>
      </c>
      <c r="AC369" s="285">
        <v>0</v>
      </c>
      <c r="AE369" s="277" t="str">
        <f t="shared" ca="1" si="52"/>
        <v>GOIENER S.COOP</v>
      </c>
      <c r="AF369" s="286">
        <f t="shared" ca="1" si="53"/>
        <v>0</v>
      </c>
    </row>
    <row r="370" spans="24:32" ht="16.5" x14ac:dyDescent="0.3">
      <c r="X370" s="280" t="s">
        <v>434</v>
      </c>
      <c r="Y370" s="283">
        <v>0</v>
      </c>
      <c r="Z370" s="280" t="s">
        <v>510</v>
      </c>
      <c r="AA370" s="283">
        <v>0.140000000596046</v>
      </c>
      <c r="AB370" s="284" t="s">
        <v>575</v>
      </c>
      <c r="AC370" s="285">
        <v>0</v>
      </c>
      <c r="AE370" s="277" t="str">
        <f t="shared" ca="1" si="52"/>
        <v>GRUPO ENERGALICIA, S.A.</v>
      </c>
      <c r="AF370" s="286">
        <f t="shared" ca="1" si="53"/>
        <v>0</v>
      </c>
    </row>
    <row r="371" spans="24:32" ht="16.5" x14ac:dyDescent="0.3">
      <c r="X371" s="280" t="s">
        <v>576</v>
      </c>
      <c r="Y371" s="283">
        <v>2.9999999329447701E-2</v>
      </c>
      <c r="Z371" s="280" t="s">
        <v>577</v>
      </c>
      <c r="AA371" s="283">
        <v>0.30000001192092901</v>
      </c>
      <c r="AB371" s="284" t="s">
        <v>539</v>
      </c>
      <c r="AC371" s="285">
        <v>0.25</v>
      </c>
      <c r="AE371" s="277" t="str">
        <f t="shared" ca="1" si="52"/>
        <v>GRUPO IBERSOGAS ENERGÍA, S.L.</v>
      </c>
      <c r="AF371" s="286">
        <f t="shared" ca="1" si="53"/>
        <v>0.25</v>
      </c>
    </row>
    <row r="372" spans="24:32" ht="16.5" x14ac:dyDescent="0.3">
      <c r="X372" s="280" t="s">
        <v>578</v>
      </c>
      <c r="Y372" s="283">
        <v>0.37000000476837203</v>
      </c>
      <c r="Z372" s="280" t="s">
        <v>579</v>
      </c>
      <c r="AA372" s="283">
        <v>0</v>
      </c>
      <c r="AB372" s="284" t="s">
        <v>580</v>
      </c>
      <c r="AC372" s="285">
        <v>0</v>
      </c>
      <c r="AE372" s="277" t="str">
        <f t="shared" ca="1" si="52"/>
        <v>HANWHA ENERGY RETAIL SPAIN SL</v>
      </c>
      <c r="AF372" s="286">
        <f t="shared" ca="1" si="53"/>
        <v>0</v>
      </c>
    </row>
    <row r="373" spans="24:32" ht="16.5" x14ac:dyDescent="0.3">
      <c r="X373" s="280" t="s">
        <v>581</v>
      </c>
      <c r="Y373" s="283">
        <v>0.36000001430511502</v>
      </c>
      <c r="Z373" s="280" t="s">
        <v>582</v>
      </c>
      <c r="AA373" s="283">
        <v>0</v>
      </c>
      <c r="AB373" s="284" t="s">
        <v>541</v>
      </c>
      <c r="AC373" s="285">
        <v>0</v>
      </c>
      <c r="AE373" s="277" t="str">
        <f t="shared" ca="1" si="52"/>
        <v>HELIA COOP V</v>
      </c>
      <c r="AF373" s="286">
        <f t="shared" ca="1" si="53"/>
        <v>0</v>
      </c>
    </row>
    <row r="374" spans="24:32" ht="16.5" x14ac:dyDescent="0.3">
      <c r="X374" s="280" t="s">
        <v>437</v>
      </c>
      <c r="Y374" s="283">
        <v>0.33000001311302202</v>
      </c>
      <c r="Z374" s="280" t="s">
        <v>343</v>
      </c>
      <c r="AA374" s="283">
        <v>0</v>
      </c>
      <c r="AB374" s="284" t="s">
        <v>583</v>
      </c>
      <c r="AC374" s="285">
        <v>0</v>
      </c>
      <c r="AE374" s="277" t="str">
        <f t="shared" ca="1" si="52"/>
        <v>HELIOELEC ENERGÍA ELÉCTRICA, S.L.</v>
      </c>
      <c r="AF374" s="286">
        <f t="shared" ca="1" si="53"/>
        <v>0</v>
      </c>
    </row>
    <row r="375" spans="24:32" ht="16.5" x14ac:dyDescent="0.3">
      <c r="X375" s="280" t="s">
        <v>584</v>
      </c>
      <c r="Y375" s="283">
        <v>0</v>
      </c>
      <c r="Z375" s="280" t="s">
        <v>500</v>
      </c>
      <c r="AA375" s="283">
        <v>0.28999999165535001</v>
      </c>
      <c r="AB375" s="284" t="s">
        <v>480</v>
      </c>
      <c r="AC375" s="285">
        <v>0</v>
      </c>
      <c r="AE375" s="277" t="str">
        <f t="shared" ca="1" si="52"/>
        <v>HIDROELÉCTRICA DEL VALIRA, S.L.</v>
      </c>
      <c r="AF375" s="286">
        <f t="shared" ca="1" si="53"/>
        <v>0</v>
      </c>
    </row>
    <row r="376" spans="24:32" ht="16.5" x14ac:dyDescent="0.3">
      <c r="X376" s="280" t="s">
        <v>350</v>
      </c>
      <c r="Y376" s="283">
        <v>0</v>
      </c>
      <c r="Z376" s="280" t="s">
        <v>503</v>
      </c>
      <c r="AA376" s="283">
        <v>0</v>
      </c>
      <c r="AB376" s="284" t="s">
        <v>585</v>
      </c>
      <c r="AC376" s="285">
        <v>0.25</v>
      </c>
      <c r="AE376" s="277" t="str">
        <f t="shared" ca="1" si="52"/>
        <v>HIDROELÉCTRICA DEL CANTÁBRICO, S.A.</v>
      </c>
      <c r="AF376" s="286">
        <f t="shared" ca="1" si="53"/>
        <v>0.25</v>
      </c>
    </row>
    <row r="377" spans="24:32" ht="16.5" x14ac:dyDescent="0.3">
      <c r="X377" s="280" t="s">
        <v>586</v>
      </c>
      <c r="Y377" s="283">
        <v>0.38999998569488498</v>
      </c>
      <c r="Z377" s="280" t="s">
        <v>506</v>
      </c>
      <c r="AA377" s="283">
        <v>0</v>
      </c>
      <c r="AB377" s="284" t="s">
        <v>334</v>
      </c>
      <c r="AC377" s="285">
        <v>0</v>
      </c>
      <c r="AE377" s="277" t="str">
        <f t="shared" ca="1" si="52"/>
        <v>HIDROELÉCTRICA EL CARMEN ENERGÍA, S.L.</v>
      </c>
      <c r="AF377" s="286">
        <f t="shared" ca="1" si="53"/>
        <v>0</v>
      </c>
    </row>
    <row r="378" spans="24:32" ht="16.5" x14ac:dyDescent="0.3">
      <c r="X378" s="280" t="s">
        <v>587</v>
      </c>
      <c r="Y378" s="283">
        <v>0</v>
      </c>
      <c r="Z378" s="280" t="s">
        <v>509</v>
      </c>
      <c r="AA378" s="283">
        <v>0</v>
      </c>
      <c r="AB378" s="284" t="s">
        <v>588</v>
      </c>
      <c r="AC378" s="285">
        <v>0</v>
      </c>
      <c r="AE378" s="277" t="str">
        <f t="shared" ca="1" si="52"/>
        <v>HIDROELÉCTRICA LUMYMEY, S.L.</v>
      </c>
      <c r="AF378" s="286">
        <f t="shared" ca="1" si="53"/>
        <v>0</v>
      </c>
    </row>
    <row r="379" spans="24:32" ht="16.5" x14ac:dyDescent="0.3">
      <c r="X379" s="280" t="s">
        <v>442</v>
      </c>
      <c r="Y379" s="283">
        <v>0</v>
      </c>
      <c r="Z379" s="280" t="s">
        <v>512</v>
      </c>
      <c r="AA379" s="283">
        <v>0</v>
      </c>
      <c r="AB379" s="284" t="s">
        <v>589</v>
      </c>
      <c r="AC379" s="285">
        <v>0</v>
      </c>
      <c r="AE379" s="277" t="str">
        <f t="shared" ca="1" si="52"/>
        <v>HOLALUZ-CLIDOM, S.A.</v>
      </c>
      <c r="AF379" s="286">
        <f t="shared" ca="1" si="53"/>
        <v>0</v>
      </c>
    </row>
    <row r="380" spans="24:32" ht="16.5" x14ac:dyDescent="0.3">
      <c r="X380" s="280" t="s">
        <v>530</v>
      </c>
      <c r="Y380" s="283">
        <v>0.37999999523162797</v>
      </c>
      <c r="Z380" s="280" t="s">
        <v>590</v>
      </c>
      <c r="AA380" s="283">
        <v>0</v>
      </c>
      <c r="AB380" s="284" t="s">
        <v>556</v>
      </c>
      <c r="AC380" s="285">
        <v>0</v>
      </c>
      <c r="AE380" s="277" t="str">
        <f t="shared" ca="1" si="52"/>
        <v>IBERCOEN ENERGÍA, S.A.</v>
      </c>
      <c r="AF380" s="286">
        <f t="shared" ca="1" si="53"/>
        <v>0</v>
      </c>
    </row>
    <row r="381" spans="24:32" ht="16.5" x14ac:dyDescent="0.3">
      <c r="X381" s="280" t="s">
        <v>591</v>
      </c>
      <c r="Y381" s="283">
        <v>0.20000000298023199</v>
      </c>
      <c r="Z381" s="280" t="s">
        <v>513</v>
      </c>
      <c r="AA381" s="283">
        <v>0</v>
      </c>
      <c r="AB381" s="284" t="s">
        <v>380</v>
      </c>
      <c r="AC381" s="285">
        <v>0.15</v>
      </c>
      <c r="AE381" s="277" t="str">
        <f t="shared" ca="1" si="52"/>
        <v>IBERDROLA CLIENTES, S.A.U.</v>
      </c>
      <c r="AF381" s="286">
        <f t="shared" ca="1" si="53"/>
        <v>0.15</v>
      </c>
    </row>
    <row r="382" spans="24:32" ht="16.5" x14ac:dyDescent="0.3">
      <c r="X382" s="280" t="s">
        <v>444</v>
      </c>
      <c r="Y382" s="283">
        <v>0</v>
      </c>
      <c r="Z382" s="280" t="s">
        <v>524</v>
      </c>
      <c r="AA382" s="283">
        <v>0</v>
      </c>
      <c r="AB382" s="284" t="s">
        <v>549</v>
      </c>
      <c r="AC382" s="285">
        <v>0</v>
      </c>
      <c r="AE382" s="277" t="str">
        <f t="shared" ca="1" si="52"/>
        <v>IBERDROLA SERVICIOS ENERGETICOS, S.A.U.</v>
      </c>
      <c r="AF382" s="286">
        <f t="shared" ca="1" si="53"/>
        <v>0</v>
      </c>
    </row>
    <row r="383" spans="24:32" ht="16.5" x14ac:dyDescent="0.3">
      <c r="X383" s="280" t="s">
        <v>592</v>
      </c>
      <c r="Y383" s="283">
        <v>0.20000000298023199</v>
      </c>
      <c r="Z383" s="280" t="s">
        <v>527</v>
      </c>
      <c r="AA383" s="283">
        <v>0</v>
      </c>
      <c r="AB383" s="284" t="s">
        <v>488</v>
      </c>
      <c r="AC383" s="285">
        <v>0</v>
      </c>
      <c r="AE383" s="277" t="str">
        <f t="shared" ca="1" si="52"/>
        <v>IM3 ENERGÍA, S.L.</v>
      </c>
      <c r="AF383" s="286">
        <f t="shared" ca="1" si="53"/>
        <v>0</v>
      </c>
    </row>
    <row r="384" spans="24:32" ht="16.5" x14ac:dyDescent="0.3">
      <c r="X384" s="280" t="s">
        <v>402</v>
      </c>
      <c r="Y384" s="283">
        <v>0</v>
      </c>
      <c r="Z384" s="280" t="s">
        <v>593</v>
      </c>
      <c r="AA384" s="283">
        <v>0</v>
      </c>
      <c r="AB384" s="284" t="s">
        <v>417</v>
      </c>
      <c r="AC384" s="285">
        <v>0.04</v>
      </c>
      <c r="AE384" s="277" t="str">
        <f t="shared" ca="1" si="52"/>
        <v>INDEXO ENERGÍA, S.L.</v>
      </c>
      <c r="AF384" s="286">
        <f t="shared" ca="1" si="53"/>
        <v>0.04</v>
      </c>
    </row>
    <row r="385" spans="24:32" ht="16.5" x14ac:dyDescent="0.3">
      <c r="X385" s="280" t="s">
        <v>594</v>
      </c>
      <c r="Y385" s="283">
        <v>0.37999999523162797</v>
      </c>
      <c r="Z385" s="280" t="s">
        <v>432</v>
      </c>
      <c r="AA385" s="283">
        <v>0</v>
      </c>
      <c r="AB385" s="284" t="s">
        <v>553</v>
      </c>
      <c r="AC385" s="285">
        <v>0</v>
      </c>
      <c r="AE385" s="277" t="str">
        <f t="shared" ca="1" si="52"/>
        <v>INER ENERGÍA CASTILLA LA MANCHA, S.L.</v>
      </c>
      <c r="AF385" s="286">
        <f t="shared" ca="1" si="53"/>
        <v>0</v>
      </c>
    </row>
    <row r="386" spans="24:32" ht="16.5" x14ac:dyDescent="0.3">
      <c r="X386" s="280" t="s">
        <v>595</v>
      </c>
      <c r="Y386" s="283">
        <v>0</v>
      </c>
      <c r="Z386" s="280" t="s">
        <v>596</v>
      </c>
      <c r="AA386" s="283">
        <v>0</v>
      </c>
      <c r="AB386" s="284" t="s">
        <v>418</v>
      </c>
      <c r="AC386" s="285">
        <v>0</v>
      </c>
      <c r="AE386" s="277" t="str">
        <f t="shared" ca="1" si="52"/>
        <v>INICIATIVA E. NOVA, S.L.</v>
      </c>
      <c r="AF386" s="286">
        <f t="shared" ca="1" si="53"/>
        <v>0</v>
      </c>
    </row>
    <row r="387" spans="24:32" ht="16.5" x14ac:dyDescent="0.3">
      <c r="X387" s="280" t="s">
        <v>535</v>
      </c>
      <c r="Y387" s="283">
        <v>0</v>
      </c>
      <c r="Z387" s="280" t="s">
        <v>574</v>
      </c>
      <c r="AA387" s="283">
        <v>0.20999999344348899</v>
      </c>
      <c r="AB387" s="284" t="s">
        <v>566</v>
      </c>
      <c r="AC387" s="285">
        <v>0</v>
      </c>
      <c r="AE387" s="277" t="str">
        <f t="shared" ca="1" si="52"/>
        <v>INNOVA DESARROLLO Y EFICIENCIA ENERGÉTICA, S.L.</v>
      </c>
      <c r="AF387" s="286">
        <f t="shared" ca="1" si="53"/>
        <v>0</v>
      </c>
    </row>
    <row r="388" spans="24:32" ht="16.5" x14ac:dyDescent="0.3">
      <c r="X388" s="280" t="s">
        <v>406</v>
      </c>
      <c r="Y388" s="283">
        <v>0</v>
      </c>
      <c r="Z388" s="280" t="s">
        <v>434</v>
      </c>
      <c r="AA388" s="283">
        <v>0</v>
      </c>
      <c r="AB388" s="284" t="s">
        <v>597</v>
      </c>
      <c r="AC388" s="285">
        <v>0.25</v>
      </c>
      <c r="AE388" s="277" t="str">
        <f t="shared" ca="1" si="52"/>
        <v>INSIGNIA ENERGÍA, S.L.</v>
      </c>
      <c r="AF388" s="286">
        <f t="shared" ca="1" si="53"/>
        <v>0.25</v>
      </c>
    </row>
    <row r="389" spans="24:32" ht="16.5" x14ac:dyDescent="0.3">
      <c r="X389" s="280" t="s">
        <v>542</v>
      </c>
      <c r="Y389" s="283">
        <v>0.30000001192092901</v>
      </c>
      <c r="Z389" s="280" t="s">
        <v>598</v>
      </c>
      <c r="AA389" s="283">
        <v>1.9999999552965199E-2</v>
      </c>
      <c r="AB389" s="284" t="s">
        <v>555</v>
      </c>
      <c r="AC389" s="285">
        <v>0.25</v>
      </c>
      <c r="AE389" s="277" t="str">
        <f t="shared" ca="1" si="52"/>
        <v>INTEGRACION EUROPEA DE ENERGÍA SUR, S.L.</v>
      </c>
      <c r="AF389" s="286">
        <f t="shared" ca="1" si="53"/>
        <v>0.25</v>
      </c>
    </row>
    <row r="390" spans="24:32" ht="16.5" x14ac:dyDescent="0.3">
      <c r="X390" s="280" t="s">
        <v>551</v>
      </c>
      <c r="Y390" s="283">
        <v>0.20999999344348899</v>
      </c>
      <c r="Z390" s="280" t="s">
        <v>578</v>
      </c>
      <c r="AA390" s="283">
        <v>0.31000000238418601</v>
      </c>
      <c r="AB390" s="284" t="s">
        <v>487</v>
      </c>
      <c r="AC390" s="285">
        <v>0.05</v>
      </c>
      <c r="AE390" s="277" t="str">
        <f t="shared" ca="1" si="52"/>
        <v>INTEGRACIÓN EUROPEA DE ENERGÍA, S.A.U.</v>
      </c>
      <c r="AF390" s="286">
        <f t="shared" ca="1" si="53"/>
        <v>0.05</v>
      </c>
    </row>
    <row r="391" spans="24:32" ht="16.5" x14ac:dyDescent="0.3">
      <c r="X391" s="280" t="s">
        <v>599</v>
      </c>
      <c r="Y391" s="283">
        <v>0</v>
      </c>
      <c r="Z391" s="280" t="s">
        <v>576</v>
      </c>
      <c r="AA391" s="283">
        <v>5.0000000745058101E-2</v>
      </c>
      <c r="AB391" s="284" t="s">
        <v>600</v>
      </c>
      <c r="AC391" s="285">
        <v>0</v>
      </c>
      <c r="AE391" s="277" t="str">
        <f t="shared" ca="1" si="52"/>
        <v>INTELIGENCIA PARA EL AHORRO ENERGÉTICO S.L.</v>
      </c>
      <c r="AF391" s="286">
        <f t="shared" ca="1" si="53"/>
        <v>0</v>
      </c>
    </row>
    <row r="392" spans="24:32" ht="16.5" x14ac:dyDescent="0.3">
      <c r="X392" s="280" t="s">
        <v>601</v>
      </c>
      <c r="Y392" s="283">
        <v>0.40999999642372098</v>
      </c>
      <c r="Z392" s="280" t="s">
        <v>602</v>
      </c>
      <c r="AA392" s="283">
        <v>0.30000001192092901</v>
      </c>
      <c r="AB392" s="284" t="s">
        <v>499</v>
      </c>
      <c r="AC392" s="285">
        <v>0</v>
      </c>
      <c r="AE392" s="277" t="str">
        <f t="shared" ca="1" si="52"/>
        <v>KILOWATIOS VERDES, S.L.</v>
      </c>
      <c r="AF392" s="286">
        <f t="shared" ca="1" si="53"/>
        <v>0</v>
      </c>
    </row>
    <row r="393" spans="24:32" ht="16.5" x14ac:dyDescent="0.3">
      <c r="X393" s="280" t="s">
        <v>603</v>
      </c>
      <c r="Y393" s="283">
        <v>0.38999998569488498</v>
      </c>
      <c r="Z393" s="280" t="s">
        <v>523</v>
      </c>
      <c r="AA393" s="283">
        <v>0.28999999165535001</v>
      </c>
      <c r="AB393" s="284" t="s">
        <v>604</v>
      </c>
      <c r="AC393" s="285">
        <v>0</v>
      </c>
      <c r="AE393" s="277" t="str">
        <f t="shared" ca="1" si="52"/>
        <v>KIPIN ENERGY SL</v>
      </c>
      <c r="AF393" s="286">
        <f t="shared" ca="1" si="53"/>
        <v>0</v>
      </c>
    </row>
    <row r="394" spans="24:32" ht="16.5" x14ac:dyDescent="0.3">
      <c r="X394" s="280" t="s">
        <v>457</v>
      </c>
      <c r="Y394" s="283">
        <v>0.34999999403953602</v>
      </c>
      <c r="Z394" s="280" t="s">
        <v>437</v>
      </c>
      <c r="AA394" s="283">
        <v>0.18000000715255701</v>
      </c>
      <c r="AB394" s="284" t="s">
        <v>569</v>
      </c>
      <c r="AC394" s="285">
        <v>0</v>
      </c>
      <c r="AE394" s="277" t="str">
        <f t="shared" ca="1" si="52"/>
        <v>KISHOA, S.L.</v>
      </c>
      <c r="AF394" s="286">
        <f t="shared" ca="1" si="53"/>
        <v>0</v>
      </c>
    </row>
    <row r="395" spans="24:32" ht="16.5" x14ac:dyDescent="0.3">
      <c r="X395" s="280" t="s">
        <v>546</v>
      </c>
      <c r="Y395" s="283">
        <v>0.20000000298023199</v>
      </c>
      <c r="Z395" s="280" t="s">
        <v>584</v>
      </c>
      <c r="AA395" s="283">
        <v>0</v>
      </c>
      <c r="AB395" s="284" t="s">
        <v>570</v>
      </c>
      <c r="AC395" s="285">
        <v>0</v>
      </c>
      <c r="AE395" s="277" t="str">
        <f t="shared" ca="1" si="52"/>
        <v>LA CORRIENTE SOCIEDAD COOPERATIVA</v>
      </c>
      <c r="AF395" s="286">
        <f t="shared" ca="1" si="53"/>
        <v>0</v>
      </c>
    </row>
    <row r="396" spans="24:32" ht="16.5" x14ac:dyDescent="0.3">
      <c r="X396" s="289" t="s">
        <v>361</v>
      </c>
      <c r="Y396" s="283">
        <v>0.41</v>
      </c>
      <c r="Z396" s="280" t="s">
        <v>350</v>
      </c>
      <c r="AA396" s="283">
        <v>0</v>
      </c>
      <c r="AB396" s="284" t="s">
        <v>501</v>
      </c>
      <c r="AC396" s="285">
        <v>0</v>
      </c>
      <c r="AE396" s="277" t="str">
        <f t="shared" ca="1" si="52"/>
        <v>LA UNIÓN ELECTRO INDUSTRIAL, S.L.U.</v>
      </c>
      <c r="AF396" s="286">
        <f t="shared" ca="1" si="53"/>
        <v>0</v>
      </c>
    </row>
    <row r="397" spans="24:32" ht="16.5" x14ac:dyDescent="0.3">
      <c r="X397" s="289" t="s">
        <v>368</v>
      </c>
      <c r="Y397" s="283">
        <v>0.41</v>
      </c>
      <c r="Z397" s="280" t="s">
        <v>586</v>
      </c>
      <c r="AA397" s="283">
        <v>0.239999994635582</v>
      </c>
      <c r="AB397" s="284" t="s">
        <v>605</v>
      </c>
      <c r="AC397" s="285">
        <v>0.21</v>
      </c>
      <c r="AE397" s="277" t="str">
        <f t="shared" ca="1" si="52"/>
        <v>LONJAS TECNOLOGÍA, S.A.</v>
      </c>
      <c r="AF397" s="286">
        <f t="shared" ca="1" si="53"/>
        <v>0.21</v>
      </c>
    </row>
    <row r="398" spans="24:32" ht="16.5" x14ac:dyDescent="0.3">
      <c r="Z398" s="280" t="s">
        <v>606</v>
      </c>
      <c r="AA398" s="283">
        <v>0</v>
      </c>
      <c r="AB398" s="284" t="s">
        <v>571</v>
      </c>
      <c r="AC398" s="285">
        <v>0</v>
      </c>
      <c r="AE398" s="277" t="str">
        <f t="shared" ca="1" si="52"/>
        <v>LOOP ELECTRICIDAD Y GAS S.L.</v>
      </c>
      <c r="AF398" s="286">
        <f t="shared" ca="1" si="53"/>
        <v>0</v>
      </c>
    </row>
    <row r="399" spans="24:32" ht="16.5" x14ac:dyDescent="0.3">
      <c r="Z399" s="280" t="s">
        <v>442</v>
      </c>
      <c r="AA399" s="283">
        <v>0</v>
      </c>
      <c r="AB399" s="284" t="s">
        <v>607</v>
      </c>
      <c r="AC399" s="285">
        <v>0</v>
      </c>
      <c r="AE399" s="277" t="str">
        <f t="shared" ca="1" si="52"/>
        <v>LOVE ENERGY, S.L.</v>
      </c>
      <c r="AF399" s="286">
        <f t="shared" ca="1" si="53"/>
        <v>0</v>
      </c>
    </row>
    <row r="400" spans="24:32" ht="16.5" x14ac:dyDescent="0.3">
      <c r="Z400" s="280" t="s">
        <v>530</v>
      </c>
      <c r="AA400" s="283">
        <v>0</v>
      </c>
      <c r="AB400" s="284" t="s">
        <v>608</v>
      </c>
      <c r="AC400" s="285">
        <v>0</v>
      </c>
      <c r="AE400" s="277" t="str">
        <f t="shared" ca="1" si="52"/>
        <v>LUCE CAPITAL GROUP SL</v>
      </c>
      <c r="AF400" s="286">
        <f t="shared" ca="1" si="53"/>
        <v>0</v>
      </c>
    </row>
    <row r="401" spans="26:32" ht="16.5" x14ac:dyDescent="0.3">
      <c r="Z401" s="280" t="s">
        <v>591</v>
      </c>
      <c r="AA401" s="283">
        <v>0</v>
      </c>
      <c r="AB401" s="284" t="s">
        <v>573</v>
      </c>
      <c r="AC401" s="285">
        <v>0.2</v>
      </c>
      <c r="AE401" s="277" t="str">
        <f t="shared" ca="1" si="52"/>
        <v>LUX FORUM SL</v>
      </c>
      <c r="AF401" s="286">
        <f t="shared" ca="1" si="53"/>
        <v>0.2</v>
      </c>
    </row>
    <row r="402" spans="26:32" ht="16.5" x14ac:dyDescent="0.3">
      <c r="Z402" s="280" t="s">
        <v>444</v>
      </c>
      <c r="AA402" s="283">
        <v>0</v>
      </c>
      <c r="AB402" s="284" t="s">
        <v>609</v>
      </c>
      <c r="AC402" s="285">
        <v>0</v>
      </c>
      <c r="AE402" s="277" t="str">
        <f t="shared" ca="1" si="52"/>
        <v>LUZ SOLIDARIA S.L.</v>
      </c>
      <c r="AF402" s="286">
        <f t="shared" ca="1" si="53"/>
        <v>0</v>
      </c>
    </row>
    <row r="403" spans="26:32" ht="16.5" x14ac:dyDescent="0.3">
      <c r="Z403" s="280" t="s">
        <v>592</v>
      </c>
      <c r="AA403" s="283">
        <v>0</v>
      </c>
      <c r="AB403" s="284" t="s">
        <v>610</v>
      </c>
      <c r="AC403" s="285">
        <v>0</v>
      </c>
      <c r="AE403" s="277" t="str">
        <f t="shared" ca="1" si="52"/>
        <v>MASQLUZ 2020, S.L.</v>
      </c>
      <c r="AF403" s="286">
        <f t="shared" ca="1" si="53"/>
        <v>0</v>
      </c>
    </row>
    <row r="404" spans="26:32" ht="16.5" x14ac:dyDescent="0.3">
      <c r="Z404" s="280" t="s">
        <v>611</v>
      </c>
      <c r="AA404" s="283">
        <v>0</v>
      </c>
      <c r="AB404" s="284" t="s">
        <v>563</v>
      </c>
      <c r="AC404" s="285">
        <v>0</v>
      </c>
      <c r="AE404" s="277" t="str">
        <f t="shared" ca="1" si="52"/>
        <v>MEGARA ENERGÍA SOCIEDAD COOPERATIVA CYL</v>
      </c>
      <c r="AF404" s="286">
        <f t="shared" ca="1" si="53"/>
        <v>0</v>
      </c>
    </row>
    <row r="405" spans="26:32" ht="16.5" x14ac:dyDescent="0.3">
      <c r="Z405" s="280" t="s">
        <v>612</v>
      </c>
      <c r="AA405" s="283">
        <v>0</v>
      </c>
      <c r="AB405" s="284" t="s">
        <v>613</v>
      </c>
      <c r="AC405" s="285">
        <v>0</v>
      </c>
      <c r="AE405" s="277" t="str">
        <f t="shared" ca="1" si="52"/>
        <v>MENTA ENERGÍA COMERCIALIZADORA SL</v>
      </c>
      <c r="AF405" s="286">
        <f t="shared" ca="1" si="53"/>
        <v>0</v>
      </c>
    </row>
    <row r="406" spans="26:32" ht="16.5" x14ac:dyDescent="0.3">
      <c r="Z406" s="280" t="s">
        <v>402</v>
      </c>
      <c r="AA406" s="283">
        <v>0</v>
      </c>
      <c r="AB406" s="284" t="s">
        <v>564</v>
      </c>
      <c r="AC406" s="285">
        <v>0</v>
      </c>
      <c r="AE406" s="277" t="str">
        <f t="shared" ca="1" si="52"/>
        <v>MULTIENERGÍA VERDE, S.L.</v>
      </c>
      <c r="AF406" s="286">
        <f t="shared" ca="1" si="53"/>
        <v>0</v>
      </c>
    </row>
    <row r="407" spans="26:32" ht="16.5" x14ac:dyDescent="0.3">
      <c r="Z407" s="280" t="s">
        <v>614</v>
      </c>
      <c r="AA407" s="283">
        <v>0.30000001192092901</v>
      </c>
      <c r="AB407" s="284" t="s">
        <v>510</v>
      </c>
      <c r="AC407" s="285">
        <v>0</v>
      </c>
      <c r="AE407" s="277" t="str">
        <f t="shared" ca="1" si="52"/>
        <v>NABALIA ENERGÍA 2000, S.A.</v>
      </c>
      <c r="AF407" s="286">
        <f t="shared" ca="1" si="53"/>
        <v>0</v>
      </c>
    </row>
    <row r="408" spans="26:32" ht="16.5" x14ac:dyDescent="0.3">
      <c r="Z408" s="280" t="s">
        <v>595</v>
      </c>
      <c r="AA408" s="283">
        <v>0</v>
      </c>
      <c r="AB408" s="284" t="s">
        <v>577</v>
      </c>
      <c r="AC408" s="285">
        <v>0.25</v>
      </c>
      <c r="AE408" s="277" t="str">
        <f t="shared" ca="1" si="52"/>
        <v>NATURGY IBERIA, S.A.</v>
      </c>
      <c r="AF408" s="286">
        <f t="shared" ca="1" si="53"/>
        <v>0.25</v>
      </c>
    </row>
    <row r="409" spans="26:32" ht="16.5" x14ac:dyDescent="0.3">
      <c r="Z409" s="280" t="s">
        <v>535</v>
      </c>
      <c r="AA409" s="283">
        <v>0</v>
      </c>
      <c r="AB409" s="284" t="s">
        <v>579</v>
      </c>
      <c r="AC409" s="285">
        <v>0</v>
      </c>
      <c r="AE409" s="277" t="str">
        <f t="shared" ca="1" si="52"/>
        <v>NATURGY RENOVABLES, S.L.U.</v>
      </c>
      <c r="AF409" s="286">
        <f t="shared" ca="1" si="53"/>
        <v>0</v>
      </c>
    </row>
    <row r="410" spans="26:32" ht="16.5" x14ac:dyDescent="0.3">
      <c r="Z410" s="280" t="s">
        <v>406</v>
      </c>
      <c r="AA410" s="283">
        <v>0</v>
      </c>
      <c r="AB410" s="284" t="s">
        <v>615</v>
      </c>
      <c r="AC410" s="285">
        <v>0.24</v>
      </c>
      <c r="AE410" s="277" t="str">
        <f t="shared" ca="1" si="52"/>
        <v>NEOELECTRA ENERGÍA, S.L.U.</v>
      </c>
      <c r="AF410" s="286">
        <f t="shared" ca="1" si="53"/>
        <v>0.24</v>
      </c>
    </row>
    <row r="411" spans="26:32" ht="16.5" x14ac:dyDescent="0.3">
      <c r="Z411" s="280" t="s">
        <v>616</v>
      </c>
      <c r="AA411" s="283">
        <v>0</v>
      </c>
      <c r="AB411" s="284" t="s">
        <v>617</v>
      </c>
      <c r="AC411" s="285">
        <v>0</v>
      </c>
      <c r="AE411" s="277" t="str">
        <f t="shared" ca="1" si="52"/>
        <v>NEOWATIO S.L.</v>
      </c>
      <c r="AF411" s="286">
        <f t="shared" ca="1" si="53"/>
        <v>0</v>
      </c>
    </row>
    <row r="412" spans="26:32" ht="16.5" x14ac:dyDescent="0.3">
      <c r="Z412" s="280" t="s">
        <v>618</v>
      </c>
      <c r="AA412" s="283">
        <v>0</v>
      </c>
      <c r="AB412" s="284" t="s">
        <v>343</v>
      </c>
      <c r="AC412" s="285">
        <v>0</v>
      </c>
      <c r="AE412" s="277" t="str">
        <f t="shared" ca="1" si="52"/>
        <v>NEXUS ENERGÍA, S.A.</v>
      </c>
      <c r="AF412" s="286">
        <f t="shared" ca="1" si="53"/>
        <v>0</v>
      </c>
    </row>
    <row r="413" spans="26:32" ht="16.5" x14ac:dyDescent="0.3">
      <c r="Z413" s="280" t="s">
        <v>619</v>
      </c>
      <c r="AA413" s="283">
        <v>0</v>
      </c>
      <c r="AB413" s="284" t="s">
        <v>500</v>
      </c>
      <c r="AC413" s="285">
        <v>0</v>
      </c>
      <c r="AE413" s="277" t="str">
        <f t="shared" ca="1" si="52"/>
        <v>NINOBE SERVICIOS ENERGÉTICOS, S.L.</v>
      </c>
      <c r="AF413" s="286">
        <f t="shared" ca="1" si="53"/>
        <v>0</v>
      </c>
    </row>
    <row r="414" spans="26:32" ht="16.5" x14ac:dyDescent="0.3">
      <c r="Z414" s="280" t="s">
        <v>620</v>
      </c>
      <c r="AA414" s="283">
        <v>0</v>
      </c>
      <c r="AB414" s="284" t="s">
        <v>503</v>
      </c>
      <c r="AC414" s="285">
        <v>0</v>
      </c>
      <c r="AE414" s="277" t="str">
        <f t="shared" ca="1" si="52"/>
        <v>NOBE SOLUCIONES Y ENERGÍA</v>
      </c>
      <c r="AF414" s="286">
        <f t="shared" ca="1" si="53"/>
        <v>0</v>
      </c>
    </row>
    <row r="415" spans="26:32" ht="16.5" x14ac:dyDescent="0.3">
      <c r="Z415" s="280" t="s">
        <v>621</v>
      </c>
      <c r="AA415" s="283">
        <v>0</v>
      </c>
      <c r="AB415" s="284" t="s">
        <v>506</v>
      </c>
      <c r="AC415" s="285">
        <v>0</v>
      </c>
      <c r="AE415" s="277" t="str">
        <f t="shared" ref="AE415:AE467" ca="1" si="54">INDIRECT("_Com"&amp;$F$2)</f>
        <v>NOSA ENERXIA SOCIEDADE COOP GALEGA</v>
      </c>
      <c r="AF415" s="286">
        <f t="shared" ref="AF415:AF467" ca="1" si="55">INDIRECT("_Mix"&amp;$F$2)</f>
        <v>0</v>
      </c>
    </row>
    <row r="416" spans="26:32" ht="16.5" x14ac:dyDescent="0.3">
      <c r="Z416" s="280" t="s">
        <v>542</v>
      </c>
      <c r="AA416" s="283">
        <v>5.0000000745058101E-2</v>
      </c>
      <c r="AB416" s="284" t="s">
        <v>517</v>
      </c>
      <c r="AC416" s="285">
        <v>0.02</v>
      </c>
      <c r="AE416" s="277" t="str">
        <f t="shared" ca="1" si="54"/>
        <v>NUEVA COMERCIALIZADORA ESPAÑOLA, S.L.</v>
      </c>
      <c r="AF416" s="286">
        <f t="shared" ca="1" si="55"/>
        <v>0.02</v>
      </c>
    </row>
    <row r="417" spans="26:32" ht="16.5" x14ac:dyDescent="0.3">
      <c r="Z417" s="280" t="s">
        <v>603</v>
      </c>
      <c r="AA417" s="283">
        <v>0.270000010728836</v>
      </c>
      <c r="AB417" s="284" t="s">
        <v>509</v>
      </c>
      <c r="AC417" s="285">
        <v>0</v>
      </c>
      <c r="AE417" s="277" t="str">
        <f t="shared" ca="1" si="54"/>
        <v>ODF ENERGÍA LIBRE COMERCIALIZADORA, S.L.</v>
      </c>
      <c r="AF417" s="286">
        <f t="shared" ca="1" si="55"/>
        <v>0</v>
      </c>
    </row>
    <row r="418" spans="26:32" ht="16.5" x14ac:dyDescent="0.3">
      <c r="Z418" s="280" t="s">
        <v>457</v>
      </c>
      <c r="AA418" s="283">
        <v>0.28000000119209301</v>
      </c>
      <c r="AB418" s="284" t="s">
        <v>512</v>
      </c>
      <c r="AC418" s="285">
        <v>0</v>
      </c>
      <c r="AE418" s="277" t="str">
        <f t="shared" ca="1" si="54"/>
        <v>ON DEMAND FACILITIES, S.L.U.</v>
      </c>
      <c r="AF418" s="286">
        <f t="shared" ca="1" si="55"/>
        <v>0</v>
      </c>
    </row>
    <row r="419" spans="26:32" ht="16.5" x14ac:dyDescent="0.3">
      <c r="Z419" s="280" t="s">
        <v>546</v>
      </c>
      <c r="AA419" s="283">
        <v>0.20999999344348899</v>
      </c>
      <c r="AB419" s="284" t="s">
        <v>622</v>
      </c>
      <c r="AC419" s="285">
        <v>0</v>
      </c>
      <c r="AE419" s="277" t="str">
        <f t="shared" ca="1" si="54"/>
        <v>OVO ENERGY SPAIN S.L.</v>
      </c>
      <c r="AF419" s="286">
        <f t="shared" ca="1" si="55"/>
        <v>0</v>
      </c>
    </row>
    <row r="420" spans="26:32" ht="16.5" x14ac:dyDescent="0.3">
      <c r="Z420" s="280" t="s">
        <v>271</v>
      </c>
      <c r="AA420" s="283">
        <v>0</v>
      </c>
      <c r="AB420" s="284" t="s">
        <v>513</v>
      </c>
      <c r="AC420" s="285">
        <v>0</v>
      </c>
      <c r="AE420" s="277" t="str">
        <f t="shared" ca="1" si="54"/>
        <v>PEPEENERGY</v>
      </c>
      <c r="AF420" s="286">
        <f t="shared" ca="1" si="55"/>
        <v>0</v>
      </c>
    </row>
    <row r="421" spans="26:32" ht="16.5" x14ac:dyDescent="0.3">
      <c r="Z421" s="289" t="s">
        <v>361</v>
      </c>
      <c r="AA421" s="283">
        <v>0.31000000238418601</v>
      </c>
      <c r="AB421" s="284" t="s">
        <v>524</v>
      </c>
      <c r="AC421" s="285">
        <v>0.22</v>
      </c>
      <c r="AE421" s="277" t="str">
        <f t="shared" ca="1" si="54"/>
        <v>PETRO NAVARRA, S.L.</v>
      </c>
      <c r="AF421" s="286">
        <f t="shared" ca="1" si="55"/>
        <v>0.22</v>
      </c>
    </row>
    <row r="422" spans="26:32" ht="16.5" x14ac:dyDescent="0.3">
      <c r="Z422" s="289" t="s">
        <v>368</v>
      </c>
      <c r="AA422" s="283">
        <v>0.31000000238418601</v>
      </c>
      <c r="AB422" s="284" t="s">
        <v>514</v>
      </c>
      <c r="AC422" s="285">
        <v>0.24</v>
      </c>
      <c r="AE422" s="277" t="str">
        <f t="shared" ca="1" si="54"/>
        <v>PETRONIEVES ENERGÍA 1, S.L.</v>
      </c>
      <c r="AF422" s="286">
        <f t="shared" ca="1" si="55"/>
        <v>0.24</v>
      </c>
    </row>
    <row r="423" spans="26:32" ht="16.5" x14ac:dyDescent="0.3">
      <c r="AB423" s="284" t="s">
        <v>623</v>
      </c>
      <c r="AC423" s="285">
        <v>0</v>
      </c>
      <c r="AE423" s="277" t="str">
        <f t="shared" ca="1" si="54"/>
        <v>POTENZIA COMERCIALIZADORA SL</v>
      </c>
      <c r="AF423" s="286">
        <f t="shared" ca="1" si="55"/>
        <v>0</v>
      </c>
    </row>
    <row r="424" spans="26:32" ht="16.5" x14ac:dyDescent="0.3">
      <c r="AB424" s="284" t="s">
        <v>432</v>
      </c>
      <c r="AC424" s="285">
        <v>0</v>
      </c>
      <c r="AE424" s="277" t="str">
        <f t="shared" ca="1" si="54"/>
        <v>PROT ENERGÍA COMERCIALIZACIÓN, S.L.</v>
      </c>
      <c r="AF424" s="286">
        <f t="shared" ca="1" si="55"/>
        <v>0</v>
      </c>
    </row>
    <row r="425" spans="26:32" ht="20.25" customHeight="1" x14ac:dyDescent="0.3">
      <c r="AB425" s="284" t="s">
        <v>518</v>
      </c>
      <c r="AC425" s="285">
        <v>0</v>
      </c>
      <c r="AE425" s="277" t="str">
        <f t="shared" ca="1" si="54"/>
        <v>PULSAR SERVICIOS ENERGÉTICOS,</v>
      </c>
      <c r="AF425" s="286">
        <f t="shared" ca="1" si="55"/>
        <v>0</v>
      </c>
    </row>
    <row r="426" spans="26:32" ht="20.25" customHeight="1" x14ac:dyDescent="0.3">
      <c r="AB426" s="284" t="s">
        <v>624</v>
      </c>
      <c r="AC426" s="285">
        <v>0</v>
      </c>
      <c r="AE426" s="277" t="str">
        <f t="shared" ca="1" si="54"/>
        <v>RA&amp;AN ELÉCTRICA SL</v>
      </c>
      <c r="AF426" s="286">
        <f t="shared" ca="1" si="55"/>
        <v>0</v>
      </c>
    </row>
    <row r="427" spans="26:32" ht="20.25" customHeight="1" x14ac:dyDescent="0.3">
      <c r="AB427" s="284" t="s">
        <v>434</v>
      </c>
      <c r="AC427" s="285">
        <v>0</v>
      </c>
      <c r="AE427" s="277" t="str">
        <f t="shared" ca="1" si="54"/>
        <v>RENEWABLE VENTURES, S.L.</v>
      </c>
      <c r="AF427" s="286">
        <f t="shared" ca="1" si="55"/>
        <v>0</v>
      </c>
    </row>
    <row r="428" spans="26:32" ht="20.25" customHeight="1" x14ac:dyDescent="0.3">
      <c r="AB428" s="284" t="s">
        <v>598</v>
      </c>
      <c r="AC428" s="285">
        <v>0</v>
      </c>
      <c r="AE428" s="277" t="str">
        <f t="shared" ca="1" si="54"/>
        <v>REPSOL COMERCIALIZADORA DE ELECTRICIDAD Y GAS, S.L.U.</v>
      </c>
      <c r="AF428" s="286">
        <f t="shared" ca="1" si="55"/>
        <v>0</v>
      </c>
    </row>
    <row r="429" spans="26:32" ht="20.25" customHeight="1" x14ac:dyDescent="0.3">
      <c r="AB429" s="284" t="s">
        <v>576</v>
      </c>
      <c r="AC429" s="285">
        <v>0.02</v>
      </c>
      <c r="AE429" s="277" t="str">
        <f t="shared" ca="1" si="54"/>
        <v>RESPIRA ENERGÍA, S.A.</v>
      </c>
      <c r="AF429" s="286">
        <f t="shared" ca="1" si="55"/>
        <v>0.02</v>
      </c>
    </row>
    <row r="430" spans="26:32" ht="20.25" customHeight="1" x14ac:dyDescent="0.3">
      <c r="AB430" s="284" t="s">
        <v>578</v>
      </c>
      <c r="AC430" s="285">
        <v>0.01</v>
      </c>
      <c r="AE430" s="277" t="str">
        <f t="shared" ca="1" si="54"/>
        <v xml:space="preserve">RESPIRA ENERGÍA ESPAÑA, S.L. </v>
      </c>
      <c r="AF430" s="286">
        <f t="shared" ca="1" si="55"/>
        <v>0.01</v>
      </c>
    </row>
    <row r="431" spans="26:32" ht="20.25" customHeight="1" x14ac:dyDescent="0.3">
      <c r="AB431" s="284" t="s">
        <v>602</v>
      </c>
      <c r="AC431" s="285">
        <v>0.21</v>
      </c>
      <c r="AE431" s="277" t="str">
        <f t="shared" ca="1" si="54"/>
        <v>ROFEICA ENERGÍA, S.A</v>
      </c>
      <c r="AF431" s="286">
        <f t="shared" ca="1" si="55"/>
        <v>0.21</v>
      </c>
    </row>
    <row r="432" spans="26:32" ht="20.25" customHeight="1" x14ac:dyDescent="0.3">
      <c r="AB432" s="284" t="s">
        <v>523</v>
      </c>
      <c r="AC432" s="285">
        <v>0.24</v>
      </c>
      <c r="AE432" s="277" t="str">
        <f t="shared" ca="1" si="54"/>
        <v>RONDA OESTE ENERGÍA, S.L.</v>
      </c>
      <c r="AF432" s="286">
        <f t="shared" ca="1" si="55"/>
        <v>0.24</v>
      </c>
    </row>
    <row r="433" spans="28:32" ht="20.25" customHeight="1" x14ac:dyDescent="0.3">
      <c r="AB433" s="284" t="s">
        <v>437</v>
      </c>
      <c r="AC433" s="285">
        <v>0.05</v>
      </c>
      <c r="AE433" s="277" t="str">
        <f t="shared" ca="1" si="54"/>
        <v>SAMPOL INGENIERÍA Y OBRAS, S.A.</v>
      </c>
      <c r="AF433" s="286">
        <f t="shared" ca="1" si="55"/>
        <v>0.05</v>
      </c>
    </row>
    <row r="434" spans="28:32" ht="20.25" customHeight="1" x14ac:dyDescent="0.3">
      <c r="AB434" s="284" t="s">
        <v>584</v>
      </c>
      <c r="AC434" s="285">
        <v>0</v>
      </c>
      <c r="AE434" s="277" t="str">
        <f t="shared" ca="1" si="54"/>
        <v>SHELL ESPAÑA, S.A.</v>
      </c>
      <c r="AF434" s="286">
        <f t="shared" ca="1" si="55"/>
        <v>0</v>
      </c>
    </row>
    <row r="435" spans="28:32" ht="20.25" customHeight="1" x14ac:dyDescent="0.3">
      <c r="AB435" s="284" t="s">
        <v>625</v>
      </c>
      <c r="AC435" s="285">
        <v>0.24</v>
      </c>
      <c r="AE435" s="277" t="str">
        <f t="shared" ca="1" si="54"/>
        <v>SIMPLES ENERGÍA DE ESPAÑA, S.L.</v>
      </c>
      <c r="AF435" s="286">
        <f t="shared" ca="1" si="55"/>
        <v>0.24</v>
      </c>
    </row>
    <row r="436" spans="28:32" ht="20.25" customHeight="1" x14ac:dyDescent="0.3">
      <c r="AB436" s="284" t="s">
        <v>626</v>
      </c>
      <c r="AC436" s="285">
        <v>0.2</v>
      </c>
      <c r="AE436" s="277" t="str">
        <f t="shared" ca="1" si="54"/>
        <v>SISTEMAS URBANOS DE ENERGÍAS RENOVABLES SOCIEDAD LIMITADA</v>
      </c>
      <c r="AF436" s="286">
        <f t="shared" ca="1" si="55"/>
        <v>0.2</v>
      </c>
    </row>
    <row r="437" spans="28:32" ht="20.25" customHeight="1" x14ac:dyDescent="0.3">
      <c r="AB437" s="284" t="s">
        <v>627</v>
      </c>
      <c r="AC437" s="285">
        <v>0</v>
      </c>
      <c r="AE437" s="277" t="str">
        <f t="shared" ca="1" si="54"/>
        <v>SOLABRIA, S.COOP</v>
      </c>
      <c r="AF437" s="286">
        <f t="shared" ca="1" si="55"/>
        <v>0</v>
      </c>
    </row>
    <row r="438" spans="28:32" ht="20.25" customHeight="1" x14ac:dyDescent="0.3">
      <c r="AB438" s="284" t="s">
        <v>628</v>
      </c>
      <c r="AC438" s="285">
        <v>0.25</v>
      </c>
      <c r="AE438" s="277" t="str">
        <f t="shared" ca="1" si="54"/>
        <v>SOLELEC IBÉRICA, S.L.</v>
      </c>
      <c r="AF438" s="286">
        <f t="shared" ca="1" si="55"/>
        <v>0.25</v>
      </c>
    </row>
    <row r="439" spans="28:32" ht="20.25" customHeight="1" x14ac:dyDescent="0.3">
      <c r="AB439" s="284" t="s">
        <v>350</v>
      </c>
      <c r="AC439" s="285">
        <v>0</v>
      </c>
      <c r="AE439" s="277" t="str">
        <f t="shared" ca="1" si="54"/>
        <v>SOM ENERGÍA, S.C.C.L.</v>
      </c>
      <c r="AF439" s="286">
        <f t="shared" ca="1" si="55"/>
        <v>0</v>
      </c>
    </row>
    <row r="440" spans="28:32" ht="20.25" customHeight="1" x14ac:dyDescent="0.3">
      <c r="AB440" s="284" t="s">
        <v>586</v>
      </c>
      <c r="AC440" s="285">
        <v>0.23</v>
      </c>
      <c r="AE440" s="277" t="str">
        <f t="shared" ca="1" si="54"/>
        <v>STIN, S.A.</v>
      </c>
      <c r="AF440" s="286">
        <f t="shared" ca="1" si="55"/>
        <v>0.23</v>
      </c>
    </row>
    <row r="441" spans="28:32" ht="20.25" customHeight="1" x14ac:dyDescent="0.3">
      <c r="AB441" s="284" t="s">
        <v>442</v>
      </c>
      <c r="AC441" s="285">
        <v>0</v>
      </c>
      <c r="AE441" s="277" t="str">
        <f t="shared" ca="1" si="54"/>
        <v>SUMINISTROS ESPECIALES ALGINETENSES COOP. V.</v>
      </c>
      <c r="AF441" s="286">
        <f t="shared" ca="1" si="55"/>
        <v>0</v>
      </c>
    </row>
    <row r="442" spans="28:32" ht="20.25" customHeight="1" x14ac:dyDescent="0.3">
      <c r="AB442" s="284" t="s">
        <v>629</v>
      </c>
      <c r="AC442" s="285">
        <v>0</v>
      </c>
      <c r="AE442" s="277" t="str">
        <f t="shared" ca="1" si="54"/>
        <v>SUNAIR ONE CANARIAS, S.L.</v>
      </c>
      <c r="AF442" s="286">
        <f t="shared" ca="1" si="55"/>
        <v>0</v>
      </c>
    </row>
    <row r="443" spans="28:32" ht="20.25" customHeight="1" x14ac:dyDescent="0.3">
      <c r="AB443" s="284" t="s">
        <v>530</v>
      </c>
      <c r="AC443" s="285">
        <v>0</v>
      </c>
      <c r="AE443" s="277" t="str">
        <f t="shared" ca="1" si="54"/>
        <v>SUNAIR ONE ENERGY, S.L.</v>
      </c>
      <c r="AF443" s="286">
        <f t="shared" ca="1" si="55"/>
        <v>0</v>
      </c>
    </row>
    <row r="444" spans="28:32" ht="20.25" customHeight="1" x14ac:dyDescent="0.3">
      <c r="AB444" s="284" t="s">
        <v>591</v>
      </c>
      <c r="AC444" s="285">
        <v>0</v>
      </c>
      <c r="AE444" s="277" t="str">
        <f t="shared" ca="1" si="54"/>
        <v>SUNAIR ONE HOME, S.L.</v>
      </c>
      <c r="AF444" s="286">
        <f t="shared" ca="1" si="55"/>
        <v>0</v>
      </c>
    </row>
    <row r="445" spans="28:32" ht="20.25" customHeight="1" x14ac:dyDescent="0.3">
      <c r="AB445" s="284" t="s">
        <v>444</v>
      </c>
      <c r="AC445" s="285">
        <v>0</v>
      </c>
      <c r="AE445" s="277" t="str">
        <f t="shared" ca="1" si="54"/>
        <v>SYDER COMERCIALIZADORA VERDE, S.L.</v>
      </c>
      <c r="AF445" s="286">
        <f t="shared" ca="1" si="55"/>
        <v>0</v>
      </c>
    </row>
    <row r="446" spans="28:32" ht="20.25" customHeight="1" x14ac:dyDescent="0.3">
      <c r="AB446" s="284" t="s">
        <v>592</v>
      </c>
      <c r="AC446" s="285">
        <v>0</v>
      </c>
      <c r="AE446" s="277" t="str">
        <f t="shared" ca="1" si="54"/>
        <v>TELEFONICA SOLUCIONES DE INFORMATICA Y COMUNICACIONES DE ESPAÑA, S.A.U.</v>
      </c>
      <c r="AF446" s="286">
        <f t="shared" ca="1" si="55"/>
        <v>0</v>
      </c>
    </row>
    <row r="447" spans="28:32" ht="20.25" customHeight="1" x14ac:dyDescent="0.3">
      <c r="AB447" s="284" t="s">
        <v>630</v>
      </c>
      <c r="AC447" s="285">
        <v>0</v>
      </c>
      <c r="AE447" s="277" t="str">
        <f t="shared" ca="1" si="54"/>
        <v>TENSINA DE ENERGÍA Y SERVICIOS, S.L.</v>
      </c>
      <c r="AF447" s="286">
        <f t="shared" ca="1" si="55"/>
        <v>0</v>
      </c>
    </row>
    <row r="448" spans="28:32" ht="20.25" customHeight="1" x14ac:dyDescent="0.3">
      <c r="AB448" s="284" t="s">
        <v>402</v>
      </c>
      <c r="AC448" s="285">
        <v>0</v>
      </c>
      <c r="AE448" s="277" t="str">
        <f t="shared" ca="1" si="54"/>
        <v>THE YELLOW ENERGY, S.L.</v>
      </c>
      <c r="AF448" s="286">
        <f t="shared" ca="1" si="55"/>
        <v>0</v>
      </c>
    </row>
    <row r="449" spans="28:32" ht="20.25" customHeight="1" x14ac:dyDescent="0.3">
      <c r="AB449" s="284" t="s">
        <v>594</v>
      </c>
      <c r="AC449" s="285">
        <v>0.19</v>
      </c>
      <c r="AE449" s="277" t="str">
        <f t="shared" ca="1" si="54"/>
        <v>TOTAL GAS Y ELECTRICIDAD ESPAÑA S.A.U.</v>
      </c>
      <c r="AF449" s="286">
        <f t="shared" ca="1" si="55"/>
        <v>0.19</v>
      </c>
    </row>
    <row r="450" spans="28:32" ht="20.25" customHeight="1" x14ac:dyDescent="0.3">
      <c r="AB450" s="284" t="s">
        <v>595</v>
      </c>
      <c r="AC450" s="285">
        <v>0</v>
      </c>
      <c r="AE450" s="277" t="str">
        <f t="shared" ca="1" si="54"/>
        <v>TRACTAMENT I SELECCIÓ DE RESIDUS, S.A.</v>
      </c>
      <c r="AF450" s="286">
        <f t="shared" ca="1" si="55"/>
        <v>0</v>
      </c>
    </row>
    <row r="451" spans="28:32" ht="20.25" customHeight="1" x14ac:dyDescent="0.3">
      <c r="AB451" s="284" t="s">
        <v>535</v>
      </c>
      <c r="AC451" s="285">
        <v>0</v>
      </c>
      <c r="AE451" s="277" t="str">
        <f t="shared" ca="1" si="54"/>
        <v>TRADE UNIVERSAL ENERGY, S.A.</v>
      </c>
      <c r="AF451" s="286">
        <f t="shared" ca="1" si="55"/>
        <v>0</v>
      </c>
    </row>
    <row r="452" spans="28:32" ht="20.25" customHeight="1" x14ac:dyDescent="0.3">
      <c r="AB452" s="284" t="s">
        <v>631</v>
      </c>
      <c r="AC452" s="285">
        <v>0.19</v>
      </c>
      <c r="AE452" s="277" t="str">
        <f t="shared" ca="1" si="54"/>
        <v>UMEME ENERGÍA SOCIEDAD LIMITADA</v>
      </c>
      <c r="AF452" s="286">
        <f t="shared" ca="1" si="55"/>
        <v>0.19</v>
      </c>
    </row>
    <row r="453" spans="28:32" ht="20.25" customHeight="1" x14ac:dyDescent="0.3">
      <c r="AB453" s="284" t="s">
        <v>406</v>
      </c>
      <c r="AC453" s="285">
        <v>0</v>
      </c>
      <c r="AE453" s="277" t="str">
        <f t="shared" ca="1" si="54"/>
        <v>UNIELÉCTRICA ENERGÍA, S.A.</v>
      </c>
      <c r="AF453" s="286">
        <f t="shared" ca="1" si="55"/>
        <v>0</v>
      </c>
    </row>
    <row r="454" spans="28:32" ht="20.25" customHeight="1" x14ac:dyDescent="0.3">
      <c r="AB454" s="284" t="s">
        <v>632</v>
      </c>
      <c r="AC454" s="285">
        <v>0.01</v>
      </c>
      <c r="AE454" s="277" t="str">
        <f t="shared" ca="1" si="54"/>
        <v>V3J INGENIERÍA Y SERVICIOS, S.L.</v>
      </c>
      <c r="AF454" s="286">
        <f t="shared" ca="1" si="55"/>
        <v>0.01</v>
      </c>
    </row>
    <row r="455" spans="28:32" ht="20.25" customHeight="1" x14ac:dyDescent="0.3">
      <c r="AB455" s="284" t="s">
        <v>633</v>
      </c>
      <c r="AC455" s="285">
        <v>0.24</v>
      </c>
      <c r="AE455" s="277" t="str">
        <f t="shared" ca="1" si="54"/>
        <v>VILLAR MIR ENERGÍA, S.L.</v>
      </c>
      <c r="AF455" s="286">
        <f t="shared" ca="1" si="55"/>
        <v>0.24</v>
      </c>
    </row>
    <row r="456" spans="28:32" ht="20.25" customHeight="1" x14ac:dyDescent="0.3">
      <c r="AB456" s="284" t="s">
        <v>599</v>
      </c>
      <c r="AC456" s="285">
        <v>0</v>
      </c>
      <c r="AE456" s="277" t="str">
        <f t="shared" ca="1" si="54"/>
        <v>VIRTUS GLOBAL ENERGY SL</v>
      </c>
      <c r="AF456" s="286">
        <f t="shared" ca="1" si="55"/>
        <v>0</v>
      </c>
    </row>
    <row r="457" spans="28:32" ht="20.25" customHeight="1" x14ac:dyDescent="0.3">
      <c r="AB457" s="284" t="s">
        <v>634</v>
      </c>
      <c r="AC457" s="285">
        <v>0.2</v>
      </c>
      <c r="AE457" s="277" t="str">
        <f t="shared" ca="1" si="54"/>
        <v>VISALIA ENERGÍA S.L.</v>
      </c>
      <c r="AF457" s="286">
        <f t="shared" ca="1" si="55"/>
        <v>0.2</v>
      </c>
    </row>
    <row r="458" spans="28:32" ht="20.25" customHeight="1" x14ac:dyDescent="0.3">
      <c r="AB458" s="284" t="s">
        <v>635</v>
      </c>
      <c r="AC458" s="285">
        <v>0</v>
      </c>
      <c r="AE458" s="277" t="str">
        <f t="shared" ca="1" si="54"/>
        <v>VITA CAPITAL TRADING SL</v>
      </c>
      <c r="AF458" s="286">
        <f t="shared" ca="1" si="55"/>
        <v>0</v>
      </c>
    </row>
    <row r="459" spans="28:32" ht="20.25" customHeight="1" x14ac:dyDescent="0.3">
      <c r="AB459" s="284" t="s">
        <v>601</v>
      </c>
      <c r="AC459" s="285">
        <v>0</v>
      </c>
      <c r="AE459" s="277" t="str">
        <f t="shared" ca="1" si="54"/>
        <v>VIVE ENERGÍA ELÉCTRICA, S.A</v>
      </c>
      <c r="AF459" s="286">
        <f t="shared" ca="1" si="55"/>
        <v>0</v>
      </c>
    </row>
    <row r="460" spans="28:32" ht="20.25" customHeight="1" x14ac:dyDescent="0.3">
      <c r="AB460" s="284" t="s">
        <v>636</v>
      </c>
      <c r="AC460" s="285">
        <v>0</v>
      </c>
      <c r="AE460" s="277" t="str">
        <f t="shared" ca="1" si="54"/>
        <v>VIVO ENERGÍA FUTURA S.A</v>
      </c>
      <c r="AF460" s="286">
        <f t="shared" ca="1" si="55"/>
        <v>0</v>
      </c>
    </row>
    <row r="461" spans="28:32" ht="20.25" customHeight="1" x14ac:dyDescent="0.3">
      <c r="AB461" s="284" t="s">
        <v>621</v>
      </c>
      <c r="AC461" s="285">
        <v>0</v>
      </c>
      <c r="AE461" s="277" t="str">
        <f t="shared" ca="1" si="54"/>
        <v>VÓLTICO ENERGÍA, S.L.</v>
      </c>
      <c r="AF461" s="286">
        <f t="shared" ca="1" si="55"/>
        <v>0</v>
      </c>
    </row>
    <row r="462" spans="28:32" ht="20.25" customHeight="1" x14ac:dyDescent="0.3">
      <c r="AB462" s="284" t="s">
        <v>603</v>
      </c>
      <c r="AC462" s="285">
        <v>0.17</v>
      </c>
      <c r="AE462" s="277" t="str">
        <f t="shared" ca="1" si="54"/>
        <v>WATIO WHOLESALE, S.L.</v>
      </c>
      <c r="AF462" s="286">
        <f t="shared" ca="1" si="55"/>
        <v>0.17</v>
      </c>
    </row>
    <row r="463" spans="28:32" ht="20.25" customHeight="1" x14ac:dyDescent="0.3">
      <c r="AB463" s="284" t="s">
        <v>457</v>
      </c>
      <c r="AC463" s="285">
        <v>0.25</v>
      </c>
      <c r="AE463" s="277" t="str">
        <f t="shared" ca="1" si="54"/>
        <v>WATIUM, S.L.</v>
      </c>
      <c r="AF463" s="286">
        <f t="shared" ca="1" si="55"/>
        <v>0.25</v>
      </c>
    </row>
    <row r="464" spans="28:32" ht="20.25" customHeight="1" x14ac:dyDescent="0.3">
      <c r="AB464" s="284" t="s">
        <v>546</v>
      </c>
      <c r="AC464" s="285">
        <v>0.16</v>
      </c>
      <c r="AE464" s="277" t="str">
        <f t="shared" ca="1" si="54"/>
        <v>WIND TO MARKET, S.A.</v>
      </c>
      <c r="AF464" s="286">
        <f t="shared" ca="1" si="55"/>
        <v>0.16</v>
      </c>
    </row>
    <row r="465" spans="28:32" ht="20.25" customHeight="1" x14ac:dyDescent="0.3">
      <c r="AB465" s="284" t="s">
        <v>637</v>
      </c>
      <c r="AC465" s="285">
        <v>0.24</v>
      </c>
      <c r="AE465" s="277" t="str">
        <f t="shared" ca="1" si="54"/>
        <v>ZULUX ENERGÍA SL</v>
      </c>
      <c r="AF465" s="286">
        <f t="shared" ca="1" si="55"/>
        <v>0.24</v>
      </c>
    </row>
    <row r="466" spans="28:32" ht="20.25" customHeight="1" x14ac:dyDescent="0.3">
      <c r="AB466" s="294" t="s">
        <v>361</v>
      </c>
      <c r="AC466" s="295">
        <v>0.25</v>
      </c>
      <c r="AE466" s="277" t="str">
        <f t="shared" ca="1" si="54"/>
        <v>Varias comercializadoras</v>
      </c>
      <c r="AF466" s="286">
        <f t="shared" ca="1" si="55"/>
        <v>0.25</v>
      </c>
    </row>
    <row r="467" spans="28:32" ht="20.25" customHeight="1" x14ac:dyDescent="0.3">
      <c r="AB467" s="289" t="s">
        <v>368</v>
      </c>
      <c r="AC467" s="268">
        <v>0.25</v>
      </c>
      <c r="AE467" s="277" t="str">
        <f t="shared" ca="1" si="54"/>
        <v>Otras</v>
      </c>
      <c r="AF467" s="286">
        <f t="shared" ca="1" si="55"/>
        <v>0.25</v>
      </c>
    </row>
    <row r="482" spans="2:10" ht="20.25" customHeight="1" x14ac:dyDescent="0.3">
      <c r="B482" s="213" t="s">
        <v>638</v>
      </c>
      <c r="E482" s="271" t="s">
        <v>241</v>
      </c>
      <c r="J482" s="287"/>
    </row>
    <row r="483" spans="2:10" ht="20.25" customHeight="1" x14ac:dyDescent="0.3">
      <c r="C483" s="240" t="s">
        <v>242</v>
      </c>
      <c r="D483" s="240" t="s">
        <v>243</v>
      </c>
      <c r="E483" s="242" t="s">
        <v>138</v>
      </c>
      <c r="F483" s="240" t="s">
        <v>244</v>
      </c>
      <c r="G483" s="240" t="s">
        <v>245</v>
      </c>
      <c r="J483" s="287"/>
    </row>
    <row r="484" spans="2:10" ht="16.5" x14ac:dyDescent="0.3">
      <c r="C484" s="277">
        <f>'4.2_Electricitat Espanya'!F49</f>
        <v>0</v>
      </c>
      <c r="D484" s="277">
        <f>'4.2_Electricitat Espanya'!G49</f>
        <v>0</v>
      </c>
      <c r="E484" s="278" t="e">
        <f t="shared" ref="E484:E503" ca="1" si="56">IF(D484=$C$248,$D$248,IF(D484=$C$249,$D$249,VLOOKUP(C484,$AE$223:$AF$467,2,0)))</f>
        <v>#N/A</v>
      </c>
      <c r="F484" s="278" t="str">
        <f>IF(ISNUMBER('4.2_Electricitat Espanya'!H49),('4.2_Electricitat Espanya'!H49*'4.2_Electricitat Espanya'!I49),"")</f>
        <v/>
      </c>
      <c r="G484" s="268">
        <f t="shared" ref="G484:G503" si="57">IF(OR(C484="Varias comercializadoras",C484="Otras"),1,2)</f>
        <v>2</v>
      </c>
      <c r="I484" s="287"/>
    </row>
    <row r="485" spans="2:10" ht="16.5" x14ac:dyDescent="0.3">
      <c r="C485" s="277">
        <f>'4.2_Electricitat Espanya'!F50</f>
        <v>0</v>
      </c>
      <c r="D485" s="277">
        <f>'4.2_Electricitat Espanya'!G50</f>
        <v>0</v>
      </c>
      <c r="E485" s="278" t="e">
        <f t="shared" ca="1" si="56"/>
        <v>#N/A</v>
      </c>
      <c r="F485" s="278" t="str">
        <f>IF(ISNUMBER('4.2_Electricitat Espanya'!H50),('4.2_Electricitat Espanya'!H50*'4.2_Electricitat Espanya'!I50),"")</f>
        <v/>
      </c>
      <c r="G485" s="268">
        <f t="shared" si="57"/>
        <v>2</v>
      </c>
      <c r="I485" s="287"/>
    </row>
    <row r="486" spans="2:10" ht="16.5" x14ac:dyDescent="0.3">
      <c r="C486" s="277">
        <f>'4.2_Electricitat Espanya'!F51</f>
        <v>0</v>
      </c>
      <c r="D486" s="277">
        <f>'4.2_Electricitat Espanya'!G51</f>
        <v>0</v>
      </c>
      <c r="E486" s="278" t="e">
        <f t="shared" ca="1" si="56"/>
        <v>#N/A</v>
      </c>
      <c r="F486" s="278" t="str">
        <f>IF(ISNUMBER('4.2_Electricitat Espanya'!H51),('4.2_Electricitat Espanya'!H51*'4.2_Electricitat Espanya'!I51),"")</f>
        <v/>
      </c>
      <c r="G486" s="268">
        <f t="shared" si="57"/>
        <v>2</v>
      </c>
      <c r="I486" s="287"/>
    </row>
    <row r="487" spans="2:10" ht="16.5" x14ac:dyDescent="0.3">
      <c r="C487" s="277">
        <f>'4.2_Electricitat Espanya'!F52</f>
        <v>0</v>
      </c>
      <c r="D487" s="277">
        <f>'4.2_Electricitat Espanya'!G52</f>
        <v>0</v>
      </c>
      <c r="E487" s="278" t="e">
        <f t="shared" ca="1" si="56"/>
        <v>#N/A</v>
      </c>
      <c r="F487" s="278" t="str">
        <f>IF(ISNUMBER('4.2_Electricitat Espanya'!H52),('4.2_Electricitat Espanya'!H52*'4.2_Electricitat Espanya'!I52),"")</f>
        <v/>
      </c>
      <c r="G487" s="268">
        <f t="shared" si="57"/>
        <v>2</v>
      </c>
      <c r="I487" s="287"/>
    </row>
    <row r="488" spans="2:10" ht="16.5" x14ac:dyDescent="0.3">
      <c r="C488" s="277">
        <f>'4.2_Electricitat Espanya'!F53</f>
        <v>0</v>
      </c>
      <c r="D488" s="277">
        <f>'4.2_Electricitat Espanya'!G53</f>
        <v>0</v>
      </c>
      <c r="E488" s="278" t="e">
        <f t="shared" ca="1" si="56"/>
        <v>#N/A</v>
      </c>
      <c r="F488" s="278" t="str">
        <f>IF(ISNUMBER('4.2_Electricitat Espanya'!H53),('4.2_Electricitat Espanya'!H53*'4.2_Electricitat Espanya'!I53),"")</f>
        <v/>
      </c>
      <c r="G488" s="268">
        <f t="shared" si="57"/>
        <v>2</v>
      </c>
      <c r="I488" s="287"/>
    </row>
    <row r="489" spans="2:10" ht="16.5" x14ac:dyDescent="0.3">
      <c r="C489" s="277">
        <f>'4.2_Electricitat Espanya'!F54</f>
        <v>0</v>
      </c>
      <c r="D489" s="277">
        <f>'4.2_Electricitat Espanya'!G54</f>
        <v>0</v>
      </c>
      <c r="E489" s="278" t="e">
        <f t="shared" ca="1" si="56"/>
        <v>#N/A</v>
      </c>
      <c r="F489" s="278" t="str">
        <f>IF(ISNUMBER('4.2_Electricitat Espanya'!H54),('4.2_Electricitat Espanya'!H54*'4.2_Electricitat Espanya'!I54),"")</f>
        <v/>
      </c>
      <c r="G489" s="268">
        <f t="shared" si="57"/>
        <v>2</v>
      </c>
      <c r="I489" s="287"/>
    </row>
    <row r="490" spans="2:10" ht="16.5" x14ac:dyDescent="0.3">
      <c r="C490" s="277">
        <f>'4.2_Electricitat Espanya'!F55</f>
        <v>0</v>
      </c>
      <c r="D490" s="277">
        <f>'4.2_Electricitat Espanya'!G55</f>
        <v>0</v>
      </c>
      <c r="E490" s="278" t="e">
        <f t="shared" ca="1" si="56"/>
        <v>#N/A</v>
      </c>
      <c r="F490" s="278" t="str">
        <f>IF(ISNUMBER('4.2_Electricitat Espanya'!H55),('4.2_Electricitat Espanya'!H55*'4.2_Electricitat Espanya'!I55),"")</f>
        <v/>
      </c>
      <c r="G490" s="268">
        <f t="shared" si="57"/>
        <v>2</v>
      </c>
      <c r="I490" s="287"/>
    </row>
    <row r="491" spans="2:10" ht="16.5" x14ac:dyDescent="0.3">
      <c r="C491" s="277">
        <f>'4.2_Electricitat Espanya'!F56</f>
        <v>0</v>
      </c>
      <c r="D491" s="277">
        <f>'4.2_Electricitat Espanya'!G56</f>
        <v>0</v>
      </c>
      <c r="E491" s="278" t="e">
        <f t="shared" ca="1" si="56"/>
        <v>#N/A</v>
      </c>
      <c r="F491" s="278" t="str">
        <f>IF(ISNUMBER('4.2_Electricitat Espanya'!H56),('4.2_Electricitat Espanya'!H56*'4.2_Electricitat Espanya'!I56),"")</f>
        <v/>
      </c>
      <c r="G491" s="268">
        <f t="shared" si="57"/>
        <v>2</v>
      </c>
      <c r="I491" s="287"/>
    </row>
    <row r="492" spans="2:10" ht="16.5" x14ac:dyDescent="0.3">
      <c r="C492" s="277">
        <f>'4.2_Electricitat Espanya'!F57</f>
        <v>0</v>
      </c>
      <c r="D492" s="277">
        <f>'4.2_Electricitat Espanya'!G57</f>
        <v>0</v>
      </c>
      <c r="E492" s="278" t="e">
        <f t="shared" ca="1" si="56"/>
        <v>#N/A</v>
      </c>
      <c r="F492" s="278" t="str">
        <f>IF(ISNUMBER('4.2_Electricitat Espanya'!H57),('4.2_Electricitat Espanya'!H57*'4.2_Electricitat Espanya'!I57),"")</f>
        <v/>
      </c>
      <c r="G492" s="268">
        <f t="shared" si="57"/>
        <v>2</v>
      </c>
      <c r="I492" s="287"/>
    </row>
    <row r="493" spans="2:10" ht="16.5" x14ac:dyDescent="0.3">
      <c r="C493" s="277">
        <f>'4.2_Electricitat Espanya'!F58</f>
        <v>0</v>
      </c>
      <c r="D493" s="277">
        <f>'4.2_Electricitat Espanya'!G58</f>
        <v>0</v>
      </c>
      <c r="E493" s="278" t="e">
        <f t="shared" ca="1" si="56"/>
        <v>#N/A</v>
      </c>
      <c r="F493" s="278" t="str">
        <f>IF(ISNUMBER('4.2_Electricitat Espanya'!H58),('4.2_Electricitat Espanya'!H58*'4.2_Electricitat Espanya'!I58),"")</f>
        <v/>
      </c>
      <c r="G493" s="268">
        <f t="shared" si="57"/>
        <v>2</v>
      </c>
      <c r="I493" s="287"/>
    </row>
    <row r="494" spans="2:10" ht="16.5" x14ac:dyDescent="0.3">
      <c r="C494" s="277">
        <f>'4.2_Electricitat Espanya'!F59</f>
        <v>0</v>
      </c>
      <c r="D494" s="277">
        <f>'4.2_Electricitat Espanya'!G59</f>
        <v>0</v>
      </c>
      <c r="E494" s="278" t="e">
        <f t="shared" ca="1" si="56"/>
        <v>#N/A</v>
      </c>
      <c r="F494" s="278" t="str">
        <f>IF(ISNUMBER('4.2_Electricitat Espanya'!H59),('4.2_Electricitat Espanya'!H59*'4.2_Electricitat Espanya'!I59),"")</f>
        <v/>
      </c>
      <c r="G494" s="268">
        <f t="shared" si="57"/>
        <v>2</v>
      </c>
    </row>
    <row r="495" spans="2:10" ht="16.5" x14ac:dyDescent="0.3">
      <c r="C495" s="277">
        <f>'4.2_Electricitat Espanya'!F60</f>
        <v>0</v>
      </c>
      <c r="D495" s="277">
        <f>'4.2_Electricitat Espanya'!G60</f>
        <v>0</v>
      </c>
      <c r="E495" s="278" t="e">
        <f t="shared" ca="1" si="56"/>
        <v>#N/A</v>
      </c>
      <c r="F495" s="278" t="str">
        <f>IF(ISNUMBER('4.2_Electricitat Espanya'!H60),('4.2_Electricitat Espanya'!H60*'4.2_Electricitat Espanya'!I60),"")</f>
        <v/>
      </c>
      <c r="G495" s="268">
        <f t="shared" si="57"/>
        <v>2</v>
      </c>
    </row>
    <row r="496" spans="2:10" ht="16.5" x14ac:dyDescent="0.3">
      <c r="C496" s="277">
        <f>'4.2_Electricitat Espanya'!F61</f>
        <v>0</v>
      </c>
      <c r="D496" s="277">
        <f>'4.2_Electricitat Espanya'!G61</f>
        <v>0</v>
      </c>
      <c r="E496" s="278" t="e">
        <f t="shared" ca="1" si="56"/>
        <v>#N/A</v>
      </c>
      <c r="F496" s="278" t="str">
        <f>IF(ISNUMBER('4.2_Electricitat Espanya'!H61),('4.2_Electricitat Espanya'!H61*'4.2_Electricitat Espanya'!I61),"")</f>
        <v/>
      </c>
      <c r="G496" s="268">
        <f t="shared" si="57"/>
        <v>2</v>
      </c>
    </row>
    <row r="497" spans="1:8" ht="16.5" x14ac:dyDescent="0.3">
      <c r="C497" s="277">
        <f>'4.2_Electricitat Espanya'!F62</f>
        <v>0</v>
      </c>
      <c r="D497" s="277">
        <f>'4.2_Electricitat Espanya'!G62</f>
        <v>0</v>
      </c>
      <c r="E497" s="278" t="e">
        <f t="shared" ca="1" si="56"/>
        <v>#N/A</v>
      </c>
      <c r="F497" s="278" t="str">
        <f>IF(ISNUMBER('4.2_Electricitat Espanya'!H62),('4.2_Electricitat Espanya'!H62*'4.2_Electricitat Espanya'!I62),"")</f>
        <v/>
      </c>
      <c r="G497" s="268">
        <f t="shared" si="57"/>
        <v>2</v>
      </c>
    </row>
    <row r="498" spans="1:8" ht="16.5" x14ac:dyDescent="0.3">
      <c r="C498" s="277">
        <f>'4.2_Electricitat Espanya'!F63</f>
        <v>0</v>
      </c>
      <c r="D498" s="277">
        <f>'4.2_Electricitat Espanya'!G63</f>
        <v>0</v>
      </c>
      <c r="E498" s="278" t="e">
        <f t="shared" ca="1" si="56"/>
        <v>#N/A</v>
      </c>
      <c r="F498" s="278" t="str">
        <f>IF(ISNUMBER('4.2_Electricitat Espanya'!H63),('4.2_Electricitat Espanya'!H63*'4.2_Electricitat Espanya'!I63),"")</f>
        <v/>
      </c>
      <c r="G498" s="268">
        <f t="shared" si="57"/>
        <v>2</v>
      </c>
    </row>
    <row r="499" spans="1:8" ht="16.5" x14ac:dyDescent="0.3">
      <c r="C499" s="277">
        <f>'4.2_Electricitat Espanya'!F64</f>
        <v>0</v>
      </c>
      <c r="D499" s="277">
        <f>'4.2_Electricitat Espanya'!G64</f>
        <v>0</v>
      </c>
      <c r="E499" s="278" t="e">
        <f t="shared" ca="1" si="56"/>
        <v>#N/A</v>
      </c>
      <c r="F499" s="278" t="str">
        <f>IF(ISNUMBER('4.2_Electricitat Espanya'!H64),('4.2_Electricitat Espanya'!H64*'4.2_Electricitat Espanya'!I64),"")</f>
        <v/>
      </c>
      <c r="G499" s="268">
        <f t="shared" si="57"/>
        <v>2</v>
      </c>
    </row>
    <row r="500" spans="1:8" ht="16.5" x14ac:dyDescent="0.3">
      <c r="C500" s="277">
        <f>'4.2_Electricitat Espanya'!F65</f>
        <v>0</v>
      </c>
      <c r="D500" s="277">
        <f>'4.2_Electricitat Espanya'!G65</f>
        <v>0</v>
      </c>
      <c r="E500" s="278" t="e">
        <f t="shared" ca="1" si="56"/>
        <v>#N/A</v>
      </c>
      <c r="F500" s="278" t="str">
        <f>IF(ISNUMBER('4.2_Electricitat Espanya'!H65),('4.2_Electricitat Espanya'!H65*'4.2_Electricitat Espanya'!I65),"")</f>
        <v/>
      </c>
      <c r="G500" s="268">
        <f t="shared" si="57"/>
        <v>2</v>
      </c>
    </row>
    <row r="501" spans="1:8" ht="16.5" x14ac:dyDescent="0.3">
      <c r="C501" s="277">
        <f>'4.2_Electricitat Espanya'!F66</f>
        <v>0</v>
      </c>
      <c r="D501" s="277">
        <f>'4.2_Electricitat Espanya'!G66</f>
        <v>0</v>
      </c>
      <c r="E501" s="278" t="e">
        <f t="shared" ca="1" si="56"/>
        <v>#N/A</v>
      </c>
      <c r="F501" s="278" t="str">
        <f>IF(ISNUMBER('4.2_Electricitat Espanya'!H66),('4.2_Electricitat Espanya'!H66*'4.2_Electricitat Espanya'!I66),"")</f>
        <v/>
      </c>
      <c r="G501" s="268">
        <f t="shared" si="57"/>
        <v>2</v>
      </c>
    </row>
    <row r="502" spans="1:8" ht="16.5" x14ac:dyDescent="0.3">
      <c r="C502" s="277">
        <f>'4.2_Electricitat Espanya'!F67</f>
        <v>0</v>
      </c>
      <c r="D502" s="277">
        <f>'4.2_Electricitat Espanya'!G67</f>
        <v>0</v>
      </c>
      <c r="E502" s="278" t="e">
        <f t="shared" ca="1" si="56"/>
        <v>#N/A</v>
      </c>
      <c r="F502" s="278" t="str">
        <f>IF(ISNUMBER('4.2_Electricitat Espanya'!H67),('4.2_Electricitat Espanya'!H67*'4.2_Electricitat Espanya'!I67),"")</f>
        <v/>
      </c>
      <c r="G502" s="268">
        <f t="shared" si="57"/>
        <v>2</v>
      </c>
    </row>
    <row r="503" spans="1:8" ht="16.5" x14ac:dyDescent="0.3">
      <c r="C503" s="277">
        <f>'4.2_Electricitat Espanya'!F68</f>
        <v>0</v>
      </c>
      <c r="D503" s="277">
        <f>'4.2_Electricitat Espanya'!G68</f>
        <v>0</v>
      </c>
      <c r="E503" s="278" t="e">
        <f t="shared" ca="1" si="56"/>
        <v>#N/A</v>
      </c>
      <c r="F503" s="278" t="str">
        <f>IF(ISNUMBER('4.2_Electricitat Espanya'!H68),('4.2_Electricitat Espanya'!H68*'4.2_Electricitat Espanya'!I68),"")</f>
        <v/>
      </c>
      <c r="G503" s="268">
        <f t="shared" si="57"/>
        <v>2</v>
      </c>
    </row>
    <row r="504" spans="1:8" ht="16.5" x14ac:dyDescent="0.3">
      <c r="C504" s="296"/>
      <c r="D504" s="296"/>
      <c r="E504" s="297"/>
      <c r="F504" s="298">
        <f>SUM(F484:F503)</f>
        <v>0</v>
      </c>
      <c r="G504" s="227"/>
    </row>
    <row r="505" spans="1:8" ht="16.5" x14ac:dyDescent="0.3">
      <c r="C505" s="296"/>
      <c r="D505" s="296"/>
      <c r="E505" s="297"/>
      <c r="F505" s="297"/>
      <c r="G505" s="297"/>
    </row>
    <row r="506" spans="1:8" ht="16.5" x14ac:dyDescent="0.3">
      <c r="C506" s="245" t="s">
        <v>639</v>
      </c>
      <c r="E506" s="297"/>
      <c r="F506" s="297"/>
      <c r="G506" s="297"/>
    </row>
    <row r="507" spans="1:8" ht="16.5" x14ac:dyDescent="0.3">
      <c r="C507" s="299">
        <f>SUM(F245+F504)</f>
        <v>0</v>
      </c>
      <c r="E507" s="297"/>
      <c r="F507" s="297"/>
      <c r="G507" s="227"/>
    </row>
    <row r="508" spans="1:8" ht="16.5" x14ac:dyDescent="0.3">
      <c r="C508" s="296"/>
      <c r="D508" s="296"/>
      <c r="E508" s="297"/>
      <c r="F508" s="297"/>
      <c r="G508" s="227"/>
    </row>
    <row r="509" spans="1:8" ht="16.5" x14ac:dyDescent="0.3">
      <c r="A509" s="213" t="s">
        <v>640</v>
      </c>
      <c r="H509" s="287"/>
    </row>
    <row r="510" spans="1:8" ht="24" x14ac:dyDescent="0.3">
      <c r="C510" s="240" t="s">
        <v>641</v>
      </c>
      <c r="D510" s="240" t="s">
        <v>642</v>
      </c>
      <c r="E510" s="287"/>
      <c r="H510" s="287"/>
    </row>
    <row r="511" spans="1:8" ht="16.5" x14ac:dyDescent="0.3">
      <c r="C511" s="277" t="s">
        <v>952</v>
      </c>
      <c r="D511" s="277" t="s">
        <v>959</v>
      </c>
      <c r="E511" s="287"/>
      <c r="H511" s="287"/>
    </row>
    <row r="512" spans="1:8" ht="16.5" x14ac:dyDescent="0.3">
      <c r="C512" s="277" t="s">
        <v>953</v>
      </c>
      <c r="D512" s="277" t="s">
        <v>960</v>
      </c>
      <c r="E512" s="287"/>
      <c r="H512" s="287"/>
    </row>
    <row r="513" spans="1:9" ht="16.5" x14ac:dyDescent="0.3">
      <c r="C513" s="277" t="s">
        <v>954</v>
      </c>
      <c r="D513" s="277" t="s">
        <v>955</v>
      </c>
      <c r="E513" s="287"/>
      <c r="H513" s="287"/>
    </row>
    <row r="514" spans="1:9" ht="16.5" x14ac:dyDescent="0.3">
      <c r="C514" s="277" t="s">
        <v>1028</v>
      </c>
      <c r="D514" s="277" t="s">
        <v>956</v>
      </c>
      <c r="E514" s="287"/>
      <c r="H514" s="287"/>
    </row>
    <row r="515" spans="1:9" ht="16.5" x14ac:dyDescent="0.3">
      <c r="C515" s="277" t="s">
        <v>643</v>
      </c>
      <c r="D515" s="277" t="s">
        <v>957</v>
      </c>
      <c r="E515" s="287"/>
      <c r="H515" s="287"/>
    </row>
    <row r="516" spans="1:9" ht="16.5" x14ac:dyDescent="0.3">
      <c r="C516" s="287"/>
      <c r="D516" s="277" t="s">
        <v>958</v>
      </c>
      <c r="E516" s="287"/>
      <c r="H516" s="287"/>
    </row>
    <row r="517" spans="1:9" ht="16.5" x14ac:dyDescent="0.3">
      <c r="C517" s="300"/>
      <c r="D517" s="287"/>
      <c r="E517" s="287"/>
      <c r="H517" s="287"/>
    </row>
    <row r="518" spans="1:9" ht="16.5" x14ac:dyDescent="0.3">
      <c r="A518" s="213" t="s">
        <v>644</v>
      </c>
      <c r="D518" s="287"/>
      <c r="E518" s="287"/>
      <c r="H518" s="287"/>
    </row>
    <row r="519" spans="1:9" ht="16.5" x14ac:dyDescent="0.3">
      <c r="A519" s="213"/>
      <c r="B519" t="s">
        <v>645</v>
      </c>
      <c r="D519" s="287"/>
      <c r="E519" s="287">
        <f>'0_Dades generals organització'!Y5</f>
        <v>0</v>
      </c>
      <c r="H519" s="287"/>
      <c r="I519" s="287"/>
    </row>
    <row r="520" spans="1:9" ht="16.5" x14ac:dyDescent="0.3">
      <c r="A520" s="213"/>
      <c r="B520" t="s">
        <v>646</v>
      </c>
      <c r="D520" s="287"/>
      <c r="E520" s="287">
        <f>'0_Dades generals organització'!Y6</f>
        <v>0</v>
      </c>
      <c r="H520" s="287"/>
      <c r="I520" s="287"/>
    </row>
    <row r="521" spans="1:9" ht="16.5" x14ac:dyDescent="0.3">
      <c r="A521" s="213"/>
      <c r="B521" s="301" t="s">
        <v>647</v>
      </c>
      <c r="D521" s="287"/>
      <c r="E521" s="302">
        <f>'0_Dades generals organització'!G3</f>
        <v>2020</v>
      </c>
      <c r="H521" s="287"/>
      <c r="I521" s="287"/>
    </row>
    <row r="522" spans="1:9" ht="16.5" x14ac:dyDescent="0.3">
      <c r="A522" s="213"/>
      <c r="B522" t="s">
        <v>648</v>
      </c>
      <c r="E522" s="303">
        <f>'6.2_Resultats Espanya'!H19</f>
        <v>0</v>
      </c>
      <c r="I522" s="287"/>
    </row>
    <row r="523" spans="1:9" ht="16.5" x14ac:dyDescent="0.3">
      <c r="I523" s="287"/>
    </row>
    <row r="524" spans="1:9" ht="16.5" x14ac:dyDescent="0.3">
      <c r="I524" s="287"/>
    </row>
    <row r="525" spans="1:9" ht="16.5" x14ac:dyDescent="0.3">
      <c r="D525" t="s">
        <v>15</v>
      </c>
      <c r="E525" t="s">
        <v>16</v>
      </c>
      <c r="F525" t="s">
        <v>17</v>
      </c>
      <c r="G525" t="s">
        <v>649</v>
      </c>
      <c r="I525" s="287"/>
    </row>
    <row r="526" spans="1:9" ht="16.5" x14ac:dyDescent="0.3">
      <c r="C526" s="268" t="s">
        <v>647</v>
      </c>
      <c r="D526" s="206" t="str">
        <f>IF(ISNUMBER('0_Dades generals organització'!H15),'0_Dades generals organització'!H15,"")</f>
        <v/>
      </c>
      <c r="E526" s="206" t="str">
        <f>IF(ISNUMBER('0_Dades generals organització'!H17),'0_Dades generals organització'!H17,"")</f>
        <v/>
      </c>
      <c r="F526" s="206" t="str">
        <f>IF(ISNUMBER('0_Dades generals organització'!H19),'0_Dades generals organització'!H19,"")</f>
        <v/>
      </c>
      <c r="G526" s="206">
        <f>IF(ISNUMBER('0_Dades generals organització'!G3),'0_Dades generals organització'!G3,"")</f>
        <v>2020</v>
      </c>
      <c r="I526" s="287"/>
    </row>
    <row r="527" spans="1:9" ht="16.5" x14ac:dyDescent="0.3">
      <c r="C527" s="268" t="s">
        <v>650</v>
      </c>
      <c r="D527" s="304">
        <f>ROUND('0_Dades generals organització'!K30,2)</f>
        <v>0</v>
      </c>
      <c r="E527" s="304">
        <f>ROUND('0_Dades generals organització'!K31,2)</f>
        <v>0</v>
      </c>
      <c r="F527" s="304">
        <f>ROUND('0_Dades generals organització'!K32,2)</f>
        <v>0</v>
      </c>
      <c r="G527" s="304">
        <f>ROUND('0_Dades generals organització'!K28,2)</f>
        <v>0</v>
      </c>
      <c r="H527" s="305" t="s">
        <v>651</v>
      </c>
      <c r="I527" s="287"/>
    </row>
    <row r="528" spans="1:9" ht="16.5" x14ac:dyDescent="0.3">
      <c r="C528" s="268" t="s">
        <v>652</v>
      </c>
      <c r="D528" s="304">
        <f>ROUND('0_Dades generals organització'!K42,2)</f>
        <v>0</v>
      </c>
      <c r="E528" s="304">
        <f>ROUND('0_Dades generals organització'!K43,2)</f>
        <v>0</v>
      </c>
      <c r="F528" s="304">
        <f>ROUND('0_Dades generals organització'!K44,2)</f>
        <v>0</v>
      </c>
      <c r="G528" s="304">
        <f>ROUND('0_Dades generals organització'!K40,2)</f>
        <v>0</v>
      </c>
      <c r="H528" s="305" t="s">
        <v>651</v>
      </c>
      <c r="I528" s="287"/>
    </row>
    <row r="529" spans="3:9" ht="16.5" x14ac:dyDescent="0.3">
      <c r="C529" s="268" t="s">
        <v>14</v>
      </c>
      <c r="D529" s="304">
        <f>ROUND('0_Dades generals organització'!L42,2)</f>
        <v>0</v>
      </c>
      <c r="E529" s="304">
        <f>ROUND('0_Dades generals organització'!L43,2)</f>
        <v>0</v>
      </c>
      <c r="F529" s="304">
        <f>ROUND('0_Dades generals organització'!L44,2)</f>
        <v>0</v>
      </c>
      <c r="G529" s="304">
        <f>ROUND('0_Dades generals organització'!L40,2)</f>
        <v>0</v>
      </c>
      <c r="H529" s="305" t="s">
        <v>651</v>
      </c>
      <c r="I529" s="287"/>
    </row>
    <row r="530" spans="3:9" ht="16.5" x14ac:dyDescent="0.3">
      <c r="H530" s="305"/>
      <c r="I530" s="287"/>
    </row>
    <row r="531" spans="3:9" x14ac:dyDescent="0.25">
      <c r="D531" t="s">
        <v>15</v>
      </c>
      <c r="E531" t="s">
        <v>16</v>
      </c>
      <c r="F531" t="s">
        <v>17</v>
      </c>
      <c r="G531" t="s">
        <v>649</v>
      </c>
    </row>
    <row r="532" spans="3:9" x14ac:dyDescent="0.25">
      <c r="D532" s="306" t="str">
        <f>IF(ISNUMBER(D526),D526,"")</f>
        <v/>
      </c>
      <c r="E532" s="306" t="str">
        <f>IF(ISNUMBER(E526),E526,"")</f>
        <v/>
      </c>
      <c r="F532" s="306" t="str">
        <f>IF(ISNUMBER(F526),F526,"")</f>
        <v/>
      </c>
      <c r="G532" s="306">
        <f>IF(ISNUMBER(G526),G526,"")</f>
        <v>2020</v>
      </c>
    </row>
    <row r="533" spans="3:9" x14ac:dyDescent="0.25">
      <c r="C533" s="268" t="s">
        <v>653</v>
      </c>
      <c r="D533" s="307">
        <f>ROUND('0_Dades generals organització'!L15,2)</f>
        <v>0</v>
      </c>
      <c r="E533" s="307">
        <f>ROUND('0_Dades generals organització'!L17,2)</f>
        <v>0</v>
      </c>
      <c r="F533" s="307">
        <f>ROUND('0_Dades generals organització'!L19,2)</f>
        <v>0</v>
      </c>
      <c r="G533" s="307">
        <f>ROUND('6.2_Resultats Espanya'!H19,2)</f>
        <v>0</v>
      </c>
      <c r="H533" s="305" t="s">
        <v>651</v>
      </c>
    </row>
    <row r="535" spans="3:9" x14ac:dyDescent="0.25">
      <c r="C535" t="s">
        <v>654</v>
      </c>
    </row>
    <row r="536" spans="3:9" x14ac:dyDescent="0.25">
      <c r="D536" s="268" t="s">
        <v>988</v>
      </c>
      <c r="E536" s="268" t="s">
        <v>987</v>
      </c>
    </row>
    <row r="537" spans="3:9" x14ac:dyDescent="0.25">
      <c r="D537" s="308">
        <f>'6.2_Resultats Espanya'!$H$16</f>
        <v>0</v>
      </c>
      <c r="E537" s="308">
        <f>'6.2_Resultats Espanya'!$H$17</f>
        <v>0</v>
      </c>
    </row>
    <row r="539" spans="3:9" x14ac:dyDescent="0.25">
      <c r="C539" t="s">
        <v>656</v>
      </c>
    </row>
    <row r="540" spans="3:9" x14ac:dyDescent="0.25">
      <c r="D540" s="268" t="s">
        <v>989</v>
      </c>
      <c r="E540" s="268" t="s">
        <v>990</v>
      </c>
      <c r="F540" s="268" t="s">
        <v>991</v>
      </c>
      <c r="G540" s="268" t="s">
        <v>979</v>
      </c>
    </row>
    <row r="541" spans="3:9" x14ac:dyDescent="0.25">
      <c r="D541" s="309" t="e">
        <f>D542/SUM($D$542:$G$542)</f>
        <v>#DIV/0!</v>
      </c>
      <c r="E541" s="309" t="e">
        <f>E542/SUM($D$542:$G$542)</f>
        <v>#DIV/0!</v>
      </c>
      <c r="F541" s="309" t="e">
        <f>F542/SUM($D$542:$G$542)</f>
        <v>#DIV/0!</v>
      </c>
      <c r="G541" s="309" t="e">
        <f>G542/SUM($D$542:$G$542)</f>
        <v>#DIV/0!</v>
      </c>
    </row>
    <row r="542" spans="3:9" x14ac:dyDescent="0.25">
      <c r="D542" s="304">
        <f>'6.2_Resultats Espanya'!$H$26</f>
        <v>0</v>
      </c>
      <c r="E542" s="304">
        <f>'6.2_Resultats Espanya'!$H$25</f>
        <v>0</v>
      </c>
      <c r="F542" s="304">
        <f>'6.2_Resultats Espanya'!$H$24</f>
        <v>0</v>
      </c>
      <c r="G542" s="304">
        <f>'6.2_Resultats Espanya'!$H$23</f>
        <v>0</v>
      </c>
    </row>
    <row r="544" spans="3:9" x14ac:dyDescent="0.25">
      <c r="D544" s="268" t="str">
        <f>D526</f>
        <v/>
      </c>
      <c r="E544" s="268" t="str">
        <f>E526</f>
        <v/>
      </c>
      <c r="F544" s="268" t="str">
        <f>F526</f>
        <v/>
      </c>
      <c r="G544" s="268">
        <f>G526</f>
        <v>2020</v>
      </c>
    </row>
    <row r="545" spans="3:9" x14ac:dyDescent="0.25">
      <c r="C545" s="268" t="s">
        <v>653</v>
      </c>
      <c r="D545" s="310">
        <f>D533</f>
        <v>0</v>
      </c>
      <c r="E545" s="310">
        <f>E533</f>
        <v>0</v>
      </c>
      <c r="F545" s="310">
        <f>F533</f>
        <v>0</v>
      </c>
      <c r="G545" s="310">
        <f>G533</f>
        <v>0</v>
      </c>
    </row>
    <row r="546" spans="3:9" x14ac:dyDescent="0.25">
      <c r="C546" s="268" t="s">
        <v>657</v>
      </c>
      <c r="D546" s="311" t="e">
        <f>ROUND((D545/D527),4)</f>
        <v>#DIV/0!</v>
      </c>
      <c r="E546" s="311" t="e">
        <f>ROUND((E545/E527),4)</f>
        <v>#DIV/0!</v>
      </c>
      <c r="F546" s="311" t="e">
        <f>ROUND((F545/F527),4)</f>
        <v>#DIV/0!</v>
      </c>
      <c r="G546" s="311" t="e">
        <f>ROUND((G545/G527),4)</f>
        <v>#DIV/0!</v>
      </c>
      <c r="H546" s="305" t="s">
        <v>658</v>
      </c>
    </row>
    <row r="547" spans="3:9" x14ac:dyDescent="0.25">
      <c r="C547" s="268" t="s">
        <v>659</v>
      </c>
      <c r="D547" s="312" t="e">
        <f>ROUND((D545/D528),4)</f>
        <v>#DIV/0!</v>
      </c>
      <c r="E547" s="312" t="e">
        <f>ROUND((E545/E528),4)</f>
        <v>#DIV/0!</v>
      </c>
      <c r="F547" s="312" t="e">
        <f>ROUND((F545/F528),4)</f>
        <v>#DIV/0!</v>
      </c>
      <c r="G547" s="312" t="e">
        <f>ROUND((G545/G528),4)</f>
        <v>#DIV/0!</v>
      </c>
      <c r="H547" s="305" t="s">
        <v>658</v>
      </c>
    </row>
    <row r="548" spans="3:9" x14ac:dyDescent="0.25">
      <c r="C548" s="268" t="s">
        <v>660</v>
      </c>
      <c r="D548" s="312" t="e">
        <f>ROUND((D545/D529),4)</f>
        <v>#DIV/0!</v>
      </c>
      <c r="E548" s="312" t="e">
        <f>ROUND((E545/E529),4)</f>
        <v>#DIV/0!</v>
      </c>
      <c r="F548" s="312" t="e">
        <f>ROUND((F545/F529),4)</f>
        <v>#DIV/0!</v>
      </c>
      <c r="G548" s="312" t="e">
        <f>ROUND((G545/G529),4)</f>
        <v>#DIV/0!</v>
      </c>
      <c r="H548" s="305" t="s">
        <v>658</v>
      </c>
    </row>
    <row r="550" spans="3:9" x14ac:dyDescent="0.25">
      <c r="C550" t="s">
        <v>661</v>
      </c>
    </row>
    <row r="551" spans="3:9" x14ac:dyDescent="0.25">
      <c r="C551" s="268" t="s">
        <v>662</v>
      </c>
      <c r="D551" s="311">
        <v>0.42880000000000001</v>
      </c>
      <c r="F551" t="str">
        <f>IF(ISNUMBER(D554),"Se cumple la condición de reducción","No se cumple la condición de reducción")</f>
        <v>No se cumple la condición de reducción</v>
      </c>
    </row>
    <row r="552" spans="3:9" x14ac:dyDescent="0.25">
      <c r="C552" s="268" t="s">
        <v>663</v>
      </c>
      <c r="D552" s="268">
        <v>0.79979999999999996</v>
      </c>
      <c r="F552" t="str">
        <f>IF(ISNUMBER(D554),"Reducción de","Incremento de")</f>
        <v>Incremento de</v>
      </c>
      <c r="H552" s="313">
        <f>IF(ISNUMBER(D553),D553,D554)</f>
        <v>0.86519999999999997</v>
      </c>
      <c r="I552" s="305" t="s">
        <v>658</v>
      </c>
    </row>
    <row r="553" spans="3:9" x14ac:dyDescent="0.25">
      <c r="C553" s="314" t="s">
        <v>664</v>
      </c>
      <c r="D553" s="315">
        <f>IF(D552-D551&gt;0,ROUND((D552-D551)/D551,4),"")</f>
        <v>0.86519999999999997</v>
      </c>
      <c r="F553" s="316">
        <f>$D$552-$D$551</f>
        <v>0.37099999999999994</v>
      </c>
      <c r="I553" s="305" t="s">
        <v>658</v>
      </c>
    </row>
    <row r="554" spans="3:9" x14ac:dyDescent="0.25">
      <c r="C554" s="317" t="s">
        <v>665</v>
      </c>
      <c r="D554" s="318" t="str">
        <f>IF(D551-D552&gt;0,ROUND((D551-D552)/D551,4),"")</f>
        <v/>
      </c>
    </row>
    <row r="558" spans="3:9" x14ac:dyDescent="0.25">
      <c r="F558" s="268" t="s">
        <v>666</v>
      </c>
    </row>
    <row r="559" spans="3:9" x14ac:dyDescent="0.25">
      <c r="F559" s="268"/>
    </row>
    <row r="561" spans="3:7" x14ac:dyDescent="0.25">
      <c r="C561" t="s">
        <v>667</v>
      </c>
    </row>
    <row r="563" spans="3:7" x14ac:dyDescent="0.25">
      <c r="C563" t="s">
        <v>668</v>
      </c>
      <c r="D563" t="s">
        <v>669</v>
      </c>
      <c r="E563" t="s">
        <v>670</v>
      </c>
    </row>
    <row r="564" spans="3:7" ht="16.5" x14ac:dyDescent="0.25">
      <c r="C564" s="319" t="str">
        <f>IF('1_Combustibles fòssils'!E18="","",'1_Combustibles fòssils'!E18)</f>
        <v/>
      </c>
      <c r="D564" s="320" t="str">
        <f>INDEX($C$564:$C$629,MATCH(0,INDEX(COUNTIF($D$563:D563,$C$564:$C$629),),))</f>
        <v/>
      </c>
      <c r="E564" s="321" t="e">
        <f>IF(D564="",D565,IF(D564=$F$559,D565,D564))</f>
        <v>#N/A</v>
      </c>
      <c r="F564" s="322" t="s">
        <v>671</v>
      </c>
      <c r="G564" s="322"/>
    </row>
    <row r="565" spans="3:7" ht="16.5" x14ac:dyDescent="0.3">
      <c r="C565" s="319" t="str">
        <f>IF('1_Combustibles fòssils'!E19="","",'1_Combustibles fòssils'!E19)</f>
        <v/>
      </c>
      <c r="D565" s="320" t="e">
        <f>INDEX($C$564:$C$629,MATCH(0,INDEX(COUNTIF($D$563:D564,$C$564:$C$629),),))</f>
        <v>#N/A</v>
      </c>
      <c r="E565" s="323" t="e">
        <f t="shared" ref="E565:E596" si="58">IF(D565="",D566,IF(D565=E564,D566,D565))</f>
        <v>#N/A</v>
      </c>
      <c r="F565" s="324" t="s">
        <v>672</v>
      </c>
      <c r="G565" s="324"/>
    </row>
    <row r="566" spans="3:7" ht="16.5" x14ac:dyDescent="0.3">
      <c r="C566" s="319" t="str">
        <f>IF('1_Combustibles fòssils'!E20="","",'1_Combustibles fòssils'!E20)</f>
        <v/>
      </c>
      <c r="D566" s="320" t="e">
        <f>INDEX($C$564:$C$629,MATCH(0,INDEX(COUNTIF($D$563:D565,$C$564:$C$629),),))</f>
        <v>#N/A</v>
      </c>
      <c r="E566" s="325" t="e">
        <f t="shared" si="58"/>
        <v>#N/A</v>
      </c>
    </row>
    <row r="567" spans="3:7" ht="16.5" x14ac:dyDescent="0.3">
      <c r="C567" s="319" t="str">
        <f>IF('1_Combustibles fòssils'!E21="","",'1_Combustibles fòssils'!E21)</f>
        <v/>
      </c>
      <c r="D567" s="320" t="e">
        <f>INDEX($C$564:$C$629,MATCH(0,INDEX(COUNTIF($D$563:D566,$C$564:$C$629),),))</f>
        <v>#N/A</v>
      </c>
      <c r="E567" s="325" t="e">
        <f t="shared" si="58"/>
        <v>#N/A</v>
      </c>
    </row>
    <row r="568" spans="3:7" ht="16.5" x14ac:dyDescent="0.3">
      <c r="C568" s="319" t="str">
        <f>IF('1_Combustibles fòssils'!E22="","",'1_Combustibles fòssils'!E22)</f>
        <v/>
      </c>
      <c r="D568" s="320" t="e">
        <f>INDEX($C$564:$C$629,MATCH(0,INDEX(COUNTIF($D$563:D567,$C$564:$C$629),),))</f>
        <v>#N/A</v>
      </c>
      <c r="E568" s="325" t="e">
        <f t="shared" si="58"/>
        <v>#N/A</v>
      </c>
    </row>
    <row r="569" spans="3:7" ht="16.5" x14ac:dyDescent="0.3">
      <c r="C569" s="319" t="str">
        <f>IF('1_Combustibles fòssils'!E23="","",'1_Combustibles fòssils'!E23)</f>
        <v/>
      </c>
      <c r="D569" s="320" t="e">
        <f>INDEX($C$564:$C$629,MATCH(0,INDEX(COUNTIF($D$563:D568,$C$564:$C$629),),))</f>
        <v>#N/A</v>
      </c>
      <c r="E569" s="325" t="e">
        <f t="shared" si="58"/>
        <v>#N/A</v>
      </c>
    </row>
    <row r="570" spans="3:7" ht="16.5" x14ac:dyDescent="0.3">
      <c r="C570" s="319" t="str">
        <f>IF('1_Combustibles fòssils'!E24="","",'1_Combustibles fòssils'!E24)</f>
        <v/>
      </c>
      <c r="D570" s="320" t="e">
        <f>INDEX($C$564:$C$629,MATCH(0,INDEX(COUNTIF($D$563:D569,$C$564:$C$629),),))</f>
        <v>#N/A</v>
      </c>
      <c r="E570" s="325" t="e">
        <f t="shared" si="58"/>
        <v>#N/A</v>
      </c>
    </row>
    <row r="571" spans="3:7" ht="16.5" x14ac:dyDescent="0.3">
      <c r="C571" s="319" t="str">
        <f>IF('1_Combustibles fòssils'!E25="","",'1_Combustibles fòssils'!E25)</f>
        <v/>
      </c>
      <c r="D571" s="320" t="e">
        <f>INDEX($C$564:$C$629,MATCH(0,INDEX(COUNTIF($D$563:D570,$C$564:$C$629),),))</f>
        <v>#N/A</v>
      </c>
      <c r="E571" s="325" t="e">
        <f t="shared" si="58"/>
        <v>#N/A</v>
      </c>
    </row>
    <row r="572" spans="3:7" ht="16.5" x14ac:dyDescent="0.3">
      <c r="C572" s="319" t="str">
        <f>IF('1_Combustibles fòssils'!E26="","",'1_Combustibles fòssils'!E26)</f>
        <v/>
      </c>
      <c r="D572" s="320" t="e">
        <f>INDEX($C$564:$C$629,MATCH(0,INDEX(COUNTIF($D$563:D571,$C$564:$C$629),),))</f>
        <v>#N/A</v>
      </c>
      <c r="E572" s="325" t="e">
        <f t="shared" si="58"/>
        <v>#N/A</v>
      </c>
    </row>
    <row r="573" spans="3:7" ht="16.5" x14ac:dyDescent="0.3">
      <c r="C573" s="319" t="str">
        <f>IF('1_Combustibles fòssils'!E27="","",'1_Combustibles fòssils'!E27)</f>
        <v/>
      </c>
      <c r="D573" s="320" t="e">
        <f>INDEX($C$564:$C$629,MATCH(0,INDEX(COUNTIF($D$563:D572,$C$564:$C$629),),))</f>
        <v>#N/A</v>
      </c>
      <c r="E573" s="325" t="e">
        <f t="shared" si="58"/>
        <v>#N/A</v>
      </c>
    </row>
    <row r="574" spans="3:7" ht="16.5" x14ac:dyDescent="0.3">
      <c r="C574" s="319" t="str">
        <f>IF('1_Combustibles fòssils'!E28="","",'1_Combustibles fòssils'!E28)</f>
        <v/>
      </c>
      <c r="D574" s="320" t="e">
        <f>INDEX($C$564:$C$629,MATCH(0,INDEX(COUNTIF($D$563:D573,$C$564:$C$629),),))</f>
        <v>#N/A</v>
      </c>
      <c r="E574" s="325" t="e">
        <f t="shared" si="58"/>
        <v>#N/A</v>
      </c>
    </row>
    <row r="575" spans="3:7" ht="16.5" x14ac:dyDescent="0.3">
      <c r="C575" s="319" t="str">
        <f>IF('1_Combustibles fòssils'!E29="","",'1_Combustibles fòssils'!E29)</f>
        <v/>
      </c>
      <c r="D575" s="320" t="e">
        <f>INDEX($C$564:$C$629,MATCH(0,INDEX(COUNTIF($D$563:D574,$C$564:$C$629),),))</f>
        <v>#N/A</v>
      </c>
      <c r="E575" s="325" t="e">
        <f t="shared" si="58"/>
        <v>#N/A</v>
      </c>
    </row>
    <row r="576" spans="3:7" ht="16.5" x14ac:dyDescent="0.3">
      <c r="C576" s="319" t="str">
        <f>IF('1_Combustibles fòssils'!E30="","",'1_Combustibles fòssils'!E30)</f>
        <v/>
      </c>
      <c r="D576" s="320" t="e">
        <f>INDEX($C$564:$C$629,MATCH(0,INDEX(COUNTIF($D$563:D575,$C$564:$C$629),),))</f>
        <v>#N/A</v>
      </c>
      <c r="E576" s="325" t="e">
        <f t="shared" si="58"/>
        <v>#N/A</v>
      </c>
    </row>
    <row r="577" spans="3:5" ht="16.5" x14ac:dyDescent="0.3">
      <c r="C577" s="319" t="str">
        <f>IF('1_Combustibles fòssils'!E31="","",'1_Combustibles fòssils'!E31)</f>
        <v/>
      </c>
      <c r="D577" s="320" t="e">
        <f>INDEX($C$564:$C$629,MATCH(0,INDEX(COUNTIF($D$563:D576,$C$564:$C$629),),))</f>
        <v>#N/A</v>
      </c>
      <c r="E577" s="325" t="e">
        <f t="shared" si="58"/>
        <v>#N/A</v>
      </c>
    </row>
    <row r="578" spans="3:5" ht="16.5" x14ac:dyDescent="0.3">
      <c r="C578" s="319" t="str">
        <f>IF('1_Combustibles fòssils'!E32="","",'1_Combustibles fòssils'!E32)</f>
        <v/>
      </c>
      <c r="D578" s="320" t="e">
        <f>INDEX($C$564:$C$629,MATCH(0,INDEX(COUNTIF($D$563:D577,$C$564:$C$629),),))</f>
        <v>#N/A</v>
      </c>
      <c r="E578" s="325" t="e">
        <f t="shared" si="58"/>
        <v>#N/A</v>
      </c>
    </row>
    <row r="579" spans="3:5" ht="16.5" x14ac:dyDescent="0.3">
      <c r="C579" s="319" t="str">
        <f>IF('1_Combustibles fòssils'!E33="","",'1_Combustibles fòssils'!E33)</f>
        <v/>
      </c>
      <c r="D579" s="320" t="e">
        <f>INDEX($C$564:$C$629,MATCH(0,INDEX(COUNTIF($D$563:D578,$C$564:$C$629),),))</f>
        <v>#N/A</v>
      </c>
      <c r="E579" s="325" t="e">
        <f t="shared" si="58"/>
        <v>#N/A</v>
      </c>
    </row>
    <row r="580" spans="3:5" ht="16.5" x14ac:dyDescent="0.3">
      <c r="C580" s="319" t="str">
        <f>IF('1_Combustibles fòssils'!E34="","",'1_Combustibles fòssils'!E34)</f>
        <v/>
      </c>
      <c r="D580" s="320" t="e">
        <f>INDEX($C$564:$C$629,MATCH(0,INDEX(COUNTIF($D$563:D579,$C$564:$C$629),),))</f>
        <v>#N/A</v>
      </c>
      <c r="E580" s="325" t="e">
        <f t="shared" si="58"/>
        <v>#N/A</v>
      </c>
    </row>
    <row r="581" spans="3:5" ht="16.5" x14ac:dyDescent="0.3">
      <c r="C581" s="319" t="str">
        <f>IF('1_Combustibles fòssils'!E35="","",'1_Combustibles fòssils'!E35)</f>
        <v/>
      </c>
      <c r="D581" s="320" t="e">
        <f>INDEX($C$564:$C$629,MATCH(0,INDEX(COUNTIF($D$563:D580,$C$564:$C$629),),))</f>
        <v>#N/A</v>
      </c>
      <c r="E581" s="325" t="e">
        <f t="shared" si="58"/>
        <v>#N/A</v>
      </c>
    </row>
    <row r="582" spans="3:5" ht="16.5" x14ac:dyDescent="0.3">
      <c r="C582" s="319" t="str">
        <f>IF('1_Combustibles fòssils'!E36="","",'1_Combustibles fòssils'!E36)</f>
        <v/>
      </c>
      <c r="D582" s="320" t="e">
        <f>INDEX($C$564:$C$629,MATCH(0,INDEX(COUNTIF($D$563:D581,$C$564:$C$629),),))</f>
        <v>#N/A</v>
      </c>
      <c r="E582" s="325" t="e">
        <f t="shared" si="58"/>
        <v>#N/A</v>
      </c>
    </row>
    <row r="583" spans="3:5" ht="16.5" x14ac:dyDescent="0.3">
      <c r="C583" s="319" t="str">
        <f>IF('1_Combustibles fòssils'!E37="","",'1_Combustibles fòssils'!E37)</f>
        <v/>
      </c>
      <c r="D583" s="320" t="e">
        <f>INDEX($C$564:$C$629,MATCH(0,INDEX(COUNTIF($D$563:D582,$C$564:$C$629),),))</f>
        <v>#N/A</v>
      </c>
      <c r="E583" s="325" t="e">
        <f t="shared" si="58"/>
        <v>#N/A</v>
      </c>
    </row>
    <row r="584" spans="3:5" ht="16.5" x14ac:dyDescent="0.3">
      <c r="C584" s="319" t="str">
        <f>IF('1_Combustibles fòssils'!E38="","",'1_Combustibles fòssils'!E38)</f>
        <v/>
      </c>
      <c r="D584" s="320" t="e">
        <f>INDEX($C$564:$C$629,MATCH(0,INDEX(COUNTIF($D$563:D583,$C$564:$C$629),),))</f>
        <v>#N/A</v>
      </c>
      <c r="E584" s="325" t="e">
        <f t="shared" si="58"/>
        <v>#N/A</v>
      </c>
    </row>
    <row r="585" spans="3:5" ht="16.5" x14ac:dyDescent="0.3">
      <c r="C585" s="319" t="str">
        <f>IF('1_Combustibles fòssils'!E39="","",'1_Combustibles fòssils'!E39)</f>
        <v/>
      </c>
      <c r="D585" s="320" t="e">
        <f>INDEX($C$564:$C$629,MATCH(0,INDEX(COUNTIF($D$563:D584,$C$564:$C$629),),))</f>
        <v>#N/A</v>
      </c>
      <c r="E585" s="325" t="e">
        <f t="shared" si="58"/>
        <v>#N/A</v>
      </c>
    </row>
    <row r="586" spans="3:5" ht="16.5" x14ac:dyDescent="0.3">
      <c r="C586" s="326" t="str">
        <f>IF('2_Fluorats'!E12="","",'2_Fluorats'!E12)</f>
        <v/>
      </c>
      <c r="D586" s="320" t="e">
        <f>INDEX($C$564:$C$629,MATCH(0,INDEX(COUNTIF($D$563:D585,$C$564:$C$629),),))</f>
        <v>#N/A</v>
      </c>
      <c r="E586" s="325" t="e">
        <f t="shared" si="58"/>
        <v>#N/A</v>
      </c>
    </row>
    <row r="587" spans="3:5" ht="16.5" x14ac:dyDescent="0.3">
      <c r="C587" s="326" t="str">
        <f>IF('2_Fluorats'!E13="","",'2_Fluorats'!E13)</f>
        <v/>
      </c>
      <c r="D587" s="320" t="e">
        <f>INDEX($C$564:$C$629,MATCH(0,INDEX(COUNTIF($D$563:D586,$C$564:$C$629),),))</f>
        <v>#N/A</v>
      </c>
      <c r="E587" s="325" t="e">
        <f t="shared" si="58"/>
        <v>#N/A</v>
      </c>
    </row>
    <row r="588" spans="3:5" ht="16.5" x14ac:dyDescent="0.3">
      <c r="C588" s="326" t="str">
        <f>IF('2_Fluorats'!E14="","",'2_Fluorats'!E14)</f>
        <v/>
      </c>
      <c r="D588" s="320" t="e">
        <f>INDEX($C$564:$C$629,MATCH(0,INDEX(COUNTIF($D$563:D587,$C$564:$C$629),),))</f>
        <v>#N/A</v>
      </c>
      <c r="E588" s="325" t="e">
        <f t="shared" si="58"/>
        <v>#N/A</v>
      </c>
    </row>
    <row r="589" spans="3:5" ht="16.5" x14ac:dyDescent="0.3">
      <c r="C589" s="326" t="str">
        <f>IF('2_Fluorats'!E15="","",'2_Fluorats'!E15)</f>
        <v/>
      </c>
      <c r="D589" s="320" t="e">
        <f>INDEX($C$564:$C$629,MATCH(0,INDEX(COUNTIF($D$563:D588,$C$564:$C$629),),))</f>
        <v>#N/A</v>
      </c>
      <c r="E589" s="325" t="e">
        <f t="shared" si="58"/>
        <v>#N/A</v>
      </c>
    </row>
    <row r="590" spans="3:5" ht="16.5" x14ac:dyDescent="0.3">
      <c r="C590" s="326" t="str">
        <f>IF('2_Fluorats'!E16="","",'2_Fluorats'!E16)</f>
        <v/>
      </c>
      <c r="D590" s="320" t="e">
        <f>INDEX($C$564:$C$629,MATCH(0,INDEX(COUNTIF($D$563:D589,$C$564:$C$629),),))</f>
        <v>#N/A</v>
      </c>
      <c r="E590" s="325" t="e">
        <f t="shared" si="58"/>
        <v>#N/A</v>
      </c>
    </row>
    <row r="591" spans="3:5" ht="16.5" x14ac:dyDescent="0.3">
      <c r="C591" s="326" t="str">
        <f>IF('2_Fluorats'!E17="","",'2_Fluorats'!E17)</f>
        <v/>
      </c>
      <c r="D591" s="320" t="e">
        <f>INDEX($C$564:$C$629,MATCH(0,INDEX(COUNTIF($D$563:D590,$C$564:$C$629),),))</f>
        <v>#N/A</v>
      </c>
      <c r="E591" s="325" t="e">
        <f t="shared" si="58"/>
        <v>#N/A</v>
      </c>
    </row>
    <row r="592" spans="3:5" ht="16.5" x14ac:dyDescent="0.3">
      <c r="C592" s="326" t="str">
        <f>IF('2_Fluorats'!E18="","",'2_Fluorats'!E18)</f>
        <v/>
      </c>
      <c r="D592" s="320" t="e">
        <f>INDEX($C$564:$C$629,MATCH(0,INDEX(COUNTIF($D$563:D591,$C$564:$C$629),),))</f>
        <v>#N/A</v>
      </c>
      <c r="E592" s="325" t="e">
        <f t="shared" si="58"/>
        <v>#N/A</v>
      </c>
    </row>
    <row r="593" spans="3:5" ht="16.5" x14ac:dyDescent="0.3">
      <c r="C593" s="326" t="str">
        <f>IF('2_Fluorats'!E19="","",'2_Fluorats'!E19)</f>
        <v/>
      </c>
      <c r="D593" s="320" t="e">
        <f>INDEX($C$564:$C$629,MATCH(0,INDEX(COUNTIF($D$563:D592,$C$564:$C$629),),))</f>
        <v>#N/A</v>
      </c>
      <c r="E593" s="325" t="e">
        <f t="shared" si="58"/>
        <v>#N/A</v>
      </c>
    </row>
    <row r="594" spans="3:5" ht="16.5" x14ac:dyDescent="0.3">
      <c r="C594" s="326" t="str">
        <f>IF('2_Fluorats'!E20="","",'2_Fluorats'!E20)</f>
        <v/>
      </c>
      <c r="D594" s="320" t="e">
        <f>INDEX($C$564:$C$629,MATCH(0,INDEX(COUNTIF($D$563:D593,$C$564:$C$629),),))</f>
        <v>#N/A</v>
      </c>
      <c r="E594" s="325" t="e">
        <f t="shared" si="58"/>
        <v>#N/A</v>
      </c>
    </row>
    <row r="595" spans="3:5" ht="16.5" x14ac:dyDescent="0.3">
      <c r="C595" s="326" t="str">
        <f>IF('2_Fluorats'!E21="","",'2_Fluorats'!E21)</f>
        <v/>
      </c>
      <c r="D595" s="320" t="e">
        <f>INDEX($C$564:$C$629,MATCH(0,INDEX(COUNTIF($D$563:D594,$C$564:$C$629),),))</f>
        <v>#N/A</v>
      </c>
      <c r="E595" s="325" t="e">
        <f t="shared" si="58"/>
        <v>#N/A</v>
      </c>
    </row>
    <row r="596" spans="3:5" ht="16.5" x14ac:dyDescent="0.3">
      <c r="C596" s="326" t="str">
        <f>IF('2_Fluorats'!E22="","",'2_Fluorats'!E22)</f>
        <v/>
      </c>
      <c r="D596" s="320" t="e">
        <f>INDEX($C$564:$C$629,MATCH(0,INDEX(COUNTIF($D$563:D595,$C$564:$C$629),),))</f>
        <v>#N/A</v>
      </c>
      <c r="E596" s="325" t="e">
        <f t="shared" si="58"/>
        <v>#N/A</v>
      </c>
    </row>
    <row r="597" spans="3:5" ht="16.5" x14ac:dyDescent="0.3">
      <c r="C597" s="326" t="str">
        <f>IF('2_Fluorats'!E23="","",'2_Fluorats'!E23)</f>
        <v/>
      </c>
      <c r="D597" s="320" t="e">
        <f>INDEX($C$564:$C$629,MATCH(0,INDEX(COUNTIF($D$563:D596,$C$564:$C$629),),))</f>
        <v>#N/A</v>
      </c>
      <c r="E597" s="325" t="e">
        <f t="shared" ref="E597:E628" si="59">IF(D597="",D598,IF(D597=E596,D598,D597))</f>
        <v>#N/A</v>
      </c>
    </row>
    <row r="598" spans="3:5" ht="16.5" x14ac:dyDescent="0.3">
      <c r="C598" s="326" t="str">
        <f>IF('2_Fluorats'!E24="","",'2_Fluorats'!E24)</f>
        <v/>
      </c>
      <c r="D598" s="320" t="e">
        <f>INDEX($C$564:$C$629,MATCH(0,INDEX(COUNTIF($D$563:D597,$C$564:$C$629),),))</f>
        <v>#N/A</v>
      </c>
      <c r="E598" s="325" t="e">
        <f t="shared" si="59"/>
        <v>#N/A</v>
      </c>
    </row>
    <row r="599" spans="3:5" ht="16.5" x14ac:dyDescent="0.3">
      <c r="C599" s="326" t="str">
        <f>IF('2_Fluorats'!E25="","",'2_Fluorats'!E25)</f>
        <v/>
      </c>
      <c r="D599" s="320" t="e">
        <f>INDEX($C$564:$C$629,MATCH(0,INDEX(COUNTIF($D$563:D598,$C$564:$C$629),),))</f>
        <v>#N/A</v>
      </c>
      <c r="E599" s="325" t="e">
        <f t="shared" si="59"/>
        <v>#N/A</v>
      </c>
    </row>
    <row r="600" spans="3:5" ht="16.5" x14ac:dyDescent="0.3">
      <c r="C600" s="326" t="str">
        <f>IF('2_Fluorats'!E26="","",'2_Fluorats'!E26)</f>
        <v/>
      </c>
      <c r="D600" s="320" t="e">
        <f>INDEX($C$564:$C$629,MATCH(0,INDEX(COUNTIF($D$563:D599,$C$564:$C$629),),))</f>
        <v>#N/A</v>
      </c>
      <c r="E600" s="325" t="e">
        <f t="shared" si="59"/>
        <v>#N/A</v>
      </c>
    </row>
    <row r="601" spans="3:5" ht="16.5" x14ac:dyDescent="0.3">
      <c r="C601" s="326" t="str">
        <f>IF('2_Fluorats'!E27="","",'2_Fluorats'!E27)</f>
        <v/>
      </c>
      <c r="D601" s="320" t="e">
        <f>INDEX($C$564:$C$629,MATCH(0,INDEX(COUNTIF($D$563:D600,$C$564:$C$629),),))</f>
        <v>#N/A</v>
      </c>
      <c r="E601" s="325" t="e">
        <f t="shared" si="59"/>
        <v>#N/A</v>
      </c>
    </row>
    <row r="602" spans="3:5" ht="16.5" x14ac:dyDescent="0.3">
      <c r="C602" s="326" t="str">
        <f>IF('2_Fluorats'!E28="","",'2_Fluorats'!E28)</f>
        <v/>
      </c>
      <c r="D602" s="320" t="e">
        <f>INDEX($C$564:$C$629,MATCH(0,INDEX(COUNTIF($D$563:D601,$C$564:$C$629),),))</f>
        <v>#N/A</v>
      </c>
      <c r="E602" s="325" t="e">
        <f t="shared" si="59"/>
        <v>#N/A</v>
      </c>
    </row>
    <row r="603" spans="3:5" ht="16.5" x14ac:dyDescent="0.3">
      <c r="C603" s="326" t="str">
        <f>IF('2_Fluorats'!E29="","",'2_Fluorats'!E29)</f>
        <v/>
      </c>
      <c r="D603" s="320" t="e">
        <f>INDEX($C$564:$C$629,MATCH(0,INDEX(COUNTIF($D$563:D602,$C$564:$C$629),),))</f>
        <v>#N/A</v>
      </c>
      <c r="E603" s="325" t="e">
        <f t="shared" si="59"/>
        <v>#N/A</v>
      </c>
    </row>
    <row r="604" spans="3:5" ht="16.5" x14ac:dyDescent="0.3">
      <c r="C604" s="326" t="str">
        <f>IF('2_Fluorats'!E30="","",'2_Fluorats'!E30)</f>
        <v/>
      </c>
      <c r="D604" s="320" t="e">
        <f>INDEX($C$564:$C$629,MATCH(0,INDEX(COUNTIF($D$563:D603,$C$564:$C$629),),))</f>
        <v>#N/A</v>
      </c>
      <c r="E604" s="325" t="e">
        <f t="shared" si="59"/>
        <v>#N/A</v>
      </c>
    </row>
    <row r="605" spans="3:5" ht="16.5" x14ac:dyDescent="0.3">
      <c r="C605" s="326" t="str">
        <f>IF('2_Fluorats'!E31="","",'2_Fluorats'!E31)</f>
        <v/>
      </c>
      <c r="D605" s="320" t="e">
        <f>INDEX($C$564:$C$629,MATCH(0,INDEX(COUNTIF($D$563:D604,$C$564:$C$629),),))</f>
        <v>#N/A</v>
      </c>
      <c r="E605" s="325" t="e">
        <f t="shared" si="59"/>
        <v>#N/A</v>
      </c>
    </row>
    <row r="606" spans="3:5" ht="16.5" x14ac:dyDescent="0.3">
      <c r="C606" s="326" t="str">
        <f>IF('2_Fluorats'!E32="","",'2_Fluorats'!E32)</f>
        <v/>
      </c>
      <c r="D606" s="320" t="e">
        <f>INDEX($C$564:$C$629,MATCH(0,INDEX(COUNTIF($D$563:D605,$C$564:$C$629),),))</f>
        <v>#N/A</v>
      </c>
      <c r="E606" s="325" t="e">
        <f t="shared" si="59"/>
        <v>#N/A</v>
      </c>
    </row>
    <row r="607" spans="3:5" ht="16.5" x14ac:dyDescent="0.3">
      <c r="C607" s="326" t="str">
        <f>IF('2_Fluorats'!E33="","",'2_Fluorats'!E33)</f>
        <v/>
      </c>
      <c r="D607" s="320" t="e">
        <f>INDEX($C$564:$C$629,MATCH(0,INDEX(COUNTIF($D$563:D606,$C$564:$C$629),),))</f>
        <v>#N/A</v>
      </c>
      <c r="E607" s="325" t="e">
        <f t="shared" si="59"/>
        <v>#N/A</v>
      </c>
    </row>
    <row r="608" spans="3:5" ht="16.5" x14ac:dyDescent="0.3">
      <c r="C608" s="327" t="str">
        <f>IF('4.2_Electricitat Espanya'!E20="","",'4.2_Electricitat Espanya'!E20)</f>
        <v/>
      </c>
      <c r="D608" s="320" t="e">
        <f>INDEX($C$564:$C$629,MATCH(0,INDEX(COUNTIF($D$563:D607,$C$564:$C$629),),))</f>
        <v>#N/A</v>
      </c>
      <c r="E608" s="325" t="e">
        <f t="shared" si="59"/>
        <v>#N/A</v>
      </c>
    </row>
    <row r="609" spans="3:5" ht="16.5" x14ac:dyDescent="0.3">
      <c r="C609" s="327" t="str">
        <f>IF('4.2_Electricitat Espanya'!E21="","",'4.2_Electricitat Espanya'!E21)</f>
        <v/>
      </c>
      <c r="D609" s="320" t="e">
        <f>INDEX($C$564:$C$629,MATCH(0,INDEX(COUNTIF($D$563:D608,$C$564:$C$629),),))</f>
        <v>#N/A</v>
      </c>
      <c r="E609" s="325" t="e">
        <f t="shared" si="59"/>
        <v>#N/A</v>
      </c>
    </row>
    <row r="610" spans="3:5" ht="16.5" x14ac:dyDescent="0.3">
      <c r="C610" s="327" t="str">
        <f>IF('4.2_Electricitat Espanya'!E22="","",'4.2_Electricitat Espanya'!E22)</f>
        <v/>
      </c>
      <c r="D610" s="320" t="e">
        <f>INDEX($C$564:$C$629,MATCH(0,INDEX(COUNTIF($D$563:D609,$C$564:$C$629),),))</f>
        <v>#N/A</v>
      </c>
      <c r="E610" s="325" t="e">
        <f t="shared" si="59"/>
        <v>#N/A</v>
      </c>
    </row>
    <row r="611" spans="3:5" ht="16.5" x14ac:dyDescent="0.3">
      <c r="C611" s="327" t="str">
        <f>IF('4.2_Electricitat Espanya'!E23="","",'4.2_Electricitat Espanya'!E23)</f>
        <v/>
      </c>
      <c r="D611" s="320" t="e">
        <f>INDEX($C$564:$C$629,MATCH(0,INDEX(COUNTIF($D$563:D610,$C$564:$C$629),),))</f>
        <v>#N/A</v>
      </c>
      <c r="E611" s="325" t="e">
        <f t="shared" si="59"/>
        <v>#N/A</v>
      </c>
    </row>
    <row r="612" spans="3:5" ht="16.5" x14ac:dyDescent="0.3">
      <c r="C612" s="327" t="str">
        <f>IF('4.2_Electricitat Espanya'!E24="","",'4.2_Electricitat Espanya'!E24)</f>
        <v/>
      </c>
      <c r="D612" s="320" t="e">
        <f>INDEX($C$564:$C$629,MATCH(0,INDEX(COUNTIF($D$563:D611,$C$564:$C$629),),))</f>
        <v>#N/A</v>
      </c>
      <c r="E612" s="325" t="e">
        <f t="shared" si="59"/>
        <v>#N/A</v>
      </c>
    </row>
    <row r="613" spans="3:5" ht="16.5" x14ac:dyDescent="0.3">
      <c r="C613" s="327" t="str">
        <f>IF('4.2_Electricitat Espanya'!E25="","",'4.2_Electricitat Espanya'!E25)</f>
        <v/>
      </c>
      <c r="D613" s="320" t="e">
        <f>INDEX($C$564:$C$629,MATCH(0,INDEX(COUNTIF($D$563:D612,$C$564:$C$629),),))</f>
        <v>#N/A</v>
      </c>
      <c r="E613" s="325" t="e">
        <f t="shared" si="59"/>
        <v>#N/A</v>
      </c>
    </row>
    <row r="614" spans="3:5" ht="16.5" x14ac:dyDescent="0.3">
      <c r="C614" s="327" t="str">
        <f>IF('4.2_Electricitat Espanya'!E26="","",'4.2_Electricitat Espanya'!E26)</f>
        <v/>
      </c>
      <c r="D614" s="320" t="e">
        <f>INDEX($C$564:$C$629,MATCH(0,INDEX(COUNTIF($D$563:D613,$C$564:$C$629),),))</f>
        <v>#N/A</v>
      </c>
      <c r="E614" s="325" t="e">
        <f t="shared" si="59"/>
        <v>#N/A</v>
      </c>
    </row>
    <row r="615" spans="3:5" ht="16.5" x14ac:dyDescent="0.3">
      <c r="C615" s="327" t="str">
        <f>IF('4.2_Electricitat Espanya'!E27="","",'4.2_Electricitat Espanya'!E27)</f>
        <v/>
      </c>
      <c r="D615" s="320" t="e">
        <f>INDEX($C$564:$C$629,MATCH(0,INDEX(COUNTIF($D$563:D614,$C$564:$C$629),),))</f>
        <v>#N/A</v>
      </c>
      <c r="E615" s="325" t="e">
        <f t="shared" si="59"/>
        <v>#N/A</v>
      </c>
    </row>
    <row r="616" spans="3:5" ht="16.5" x14ac:dyDescent="0.3">
      <c r="C616" s="327" t="str">
        <f>IF('4.2_Electricitat Espanya'!E28="","",'4.2_Electricitat Espanya'!E28)</f>
        <v/>
      </c>
      <c r="D616" s="320" t="e">
        <f>INDEX($C$564:$C$629,MATCH(0,INDEX(COUNTIF($D$563:D615,$C$564:$C$629),),))</f>
        <v>#N/A</v>
      </c>
      <c r="E616" s="325" t="e">
        <f t="shared" si="59"/>
        <v>#N/A</v>
      </c>
    </row>
    <row r="617" spans="3:5" ht="16.5" x14ac:dyDescent="0.3">
      <c r="C617" s="327" t="str">
        <f>IF('4.2_Electricitat Espanya'!E29="","",'4.2_Electricitat Espanya'!E29)</f>
        <v/>
      </c>
      <c r="D617" s="320" t="e">
        <f>INDEX($C$564:$C$629,MATCH(0,INDEX(COUNTIF($D$563:D616,$C$564:$C$629),),))</f>
        <v>#N/A</v>
      </c>
      <c r="E617" s="325" t="e">
        <f t="shared" si="59"/>
        <v>#N/A</v>
      </c>
    </row>
    <row r="618" spans="3:5" ht="16.5" x14ac:dyDescent="0.3">
      <c r="C618" s="327" t="str">
        <f>IF('4.2_Electricitat Espanya'!E30="","",'4.2_Electricitat Espanya'!E30)</f>
        <v/>
      </c>
      <c r="D618" s="320" t="e">
        <f>INDEX($C$564:$C$629,MATCH(0,INDEX(COUNTIF($D$563:D617,$C$564:$C$629),),))</f>
        <v>#N/A</v>
      </c>
      <c r="E618" s="325" t="e">
        <f t="shared" si="59"/>
        <v>#N/A</v>
      </c>
    </row>
    <row r="619" spans="3:5" ht="16.5" x14ac:dyDescent="0.3">
      <c r="C619" s="327" t="str">
        <f>IF('4.2_Electricitat Espanya'!E31="","",'4.2_Electricitat Espanya'!E31)</f>
        <v/>
      </c>
      <c r="D619" s="320" t="e">
        <f>INDEX($C$564:$C$629,MATCH(0,INDEX(COUNTIF($D$563:D618,$C$564:$C$629),),))</f>
        <v>#N/A</v>
      </c>
      <c r="E619" s="325" t="e">
        <f t="shared" si="59"/>
        <v>#N/A</v>
      </c>
    </row>
    <row r="620" spans="3:5" ht="16.5" x14ac:dyDescent="0.3">
      <c r="C620" s="327" t="str">
        <f>IF('4.2_Electricitat Espanya'!E32="","",'4.2_Electricitat Espanya'!E32)</f>
        <v/>
      </c>
      <c r="D620" s="320" t="e">
        <f>INDEX($C$564:$C$629,MATCH(0,INDEX(COUNTIF($D$563:D619,$C$564:$C$629),),))</f>
        <v>#N/A</v>
      </c>
      <c r="E620" s="325" t="e">
        <f t="shared" si="59"/>
        <v>#N/A</v>
      </c>
    </row>
    <row r="621" spans="3:5" ht="16.5" x14ac:dyDescent="0.3">
      <c r="C621" s="327" t="str">
        <f>IF('4.2_Electricitat Espanya'!E33="","",'4.2_Electricitat Espanya'!E33)</f>
        <v/>
      </c>
      <c r="D621" s="320" t="e">
        <f>INDEX($C$564:$C$629,MATCH(0,INDEX(COUNTIF($D$563:D620,$C$564:$C$629),),))</f>
        <v>#N/A</v>
      </c>
      <c r="E621" s="325" t="e">
        <f t="shared" si="59"/>
        <v>#N/A</v>
      </c>
    </row>
    <row r="622" spans="3:5" ht="16.5" x14ac:dyDescent="0.3">
      <c r="C622" s="327" t="str">
        <f>IF('4.2_Electricitat Espanya'!E34="","",'4.2_Electricitat Espanya'!E34)</f>
        <v/>
      </c>
      <c r="D622" s="320" t="e">
        <f>INDEX($C$564:$C$629,MATCH(0,INDEX(COUNTIF($D$563:D621,$C$564:$C$629),),))</f>
        <v>#N/A</v>
      </c>
      <c r="E622" s="325" t="e">
        <f t="shared" si="59"/>
        <v>#N/A</v>
      </c>
    </row>
    <row r="623" spans="3:5" ht="16.5" x14ac:dyDescent="0.3">
      <c r="C623" s="327" t="str">
        <f>IF('4.2_Electricitat Espanya'!E35="","",'4.2_Electricitat Espanya'!E35)</f>
        <v/>
      </c>
      <c r="D623" s="320" t="e">
        <f>INDEX($C$564:$C$629,MATCH(0,INDEX(COUNTIF($D$563:D622,$C$564:$C$629),),))</f>
        <v>#N/A</v>
      </c>
      <c r="E623" s="325" t="e">
        <f t="shared" si="59"/>
        <v>#N/A</v>
      </c>
    </row>
    <row r="624" spans="3:5" ht="16.5" x14ac:dyDescent="0.3">
      <c r="C624" s="327" t="str">
        <f>IF('4.2_Electricitat Espanya'!E36="","",'4.2_Electricitat Espanya'!E36)</f>
        <v/>
      </c>
      <c r="D624" s="320" t="e">
        <f>INDEX($C$564:$C$629,MATCH(0,INDEX(COUNTIF($D$563:D623,$C$564:$C$629),),))</f>
        <v>#N/A</v>
      </c>
      <c r="E624" s="325" t="e">
        <f t="shared" si="59"/>
        <v>#N/A</v>
      </c>
    </row>
    <row r="625" spans="3:43" ht="16.5" x14ac:dyDescent="0.3">
      <c r="C625" s="327" t="str">
        <f>IF('4.2_Electricitat Espanya'!E37="","",'4.2_Electricitat Espanya'!E37)</f>
        <v/>
      </c>
      <c r="D625" s="320" t="e">
        <f>INDEX($C$564:$C$629,MATCH(0,INDEX(COUNTIF($D$563:D624,$C$564:$C$629),),))</f>
        <v>#N/A</v>
      </c>
      <c r="E625" s="325" t="e">
        <f t="shared" si="59"/>
        <v>#N/A</v>
      </c>
    </row>
    <row r="626" spans="3:43" ht="16.5" x14ac:dyDescent="0.3">
      <c r="C626" s="327" t="str">
        <f>IF('4.2_Electricitat Espanya'!E38="","",'4.2_Electricitat Espanya'!E38)</f>
        <v/>
      </c>
      <c r="D626" s="320" t="e">
        <f>INDEX($C$564:$C$629,MATCH(0,INDEX(COUNTIF($D$563:D625,$C$564:$C$629),),))</f>
        <v>#N/A</v>
      </c>
      <c r="E626" s="325" t="e">
        <f t="shared" si="59"/>
        <v>#N/A</v>
      </c>
    </row>
    <row r="627" spans="3:43" ht="16.5" x14ac:dyDescent="0.3">
      <c r="C627" s="327" t="str">
        <f>IF('4.2_Electricitat Espanya'!E39="","",'4.2_Electricitat Espanya'!E39)</f>
        <v/>
      </c>
      <c r="D627" s="320" t="e">
        <f>INDEX($C$564:$C$629,MATCH(0,INDEX(COUNTIF($D$563:D626,$C$564:$C$629),),))</f>
        <v>#N/A</v>
      </c>
      <c r="E627" s="325" t="e">
        <f t="shared" si="59"/>
        <v>#N/A</v>
      </c>
    </row>
    <row r="628" spans="3:43" ht="16.5" x14ac:dyDescent="0.3">
      <c r="C628" s="327" t="str">
        <f>IF('4.2_Electricitat Espanya'!E40="","",'4.2_Electricitat Espanya'!E40)</f>
        <v/>
      </c>
      <c r="D628" s="320" t="e">
        <f>INDEX($C$564:$C$629,MATCH(0,INDEX(COUNTIF($D$563:D627,$C$564:$C$629),),))</f>
        <v>#N/A</v>
      </c>
      <c r="E628" s="325" t="e">
        <f t="shared" si="59"/>
        <v>#N/A</v>
      </c>
    </row>
    <row r="629" spans="3:43" ht="16.5" x14ac:dyDescent="0.3">
      <c r="C629" s="327" t="str">
        <f>IF('4.2_Electricitat Espanya'!E41="","",'4.2_Electricitat Espanya'!E41)</f>
        <v/>
      </c>
      <c r="D629" s="320" t="e">
        <f>INDEX($C$564:$C$629,MATCH(0,INDEX(COUNTIF($D$563:D628,$C$564:$C$629),),))</f>
        <v>#N/A</v>
      </c>
      <c r="E629" s="325" t="e">
        <f t="shared" ref="E629" si="60">IF(D629="",D630,IF(D629=E628,D630,D629))</f>
        <v>#N/A</v>
      </c>
    </row>
    <row r="634" spans="3:43" ht="68.650000000000006" customHeight="1" x14ac:dyDescent="0.25">
      <c r="C634" s="549" t="s">
        <v>673</v>
      </c>
      <c r="D634" s="550" t="s">
        <v>674</v>
      </c>
      <c r="E634" s="550"/>
      <c r="F634" s="550" t="s">
        <v>675</v>
      </c>
      <c r="G634" s="550"/>
      <c r="H634" s="550" t="s">
        <v>676</v>
      </c>
      <c r="I634" s="550"/>
      <c r="J634" s="550" t="s">
        <v>677</v>
      </c>
      <c r="K634" s="550"/>
      <c r="L634" s="328" t="s">
        <v>678</v>
      </c>
      <c r="M634" s="328" t="s">
        <v>679</v>
      </c>
      <c r="N634" s="328" t="s">
        <v>680</v>
      </c>
      <c r="O634" s="328" t="s">
        <v>681</v>
      </c>
      <c r="P634" s="550" t="s">
        <v>682</v>
      </c>
      <c r="Q634" s="550"/>
      <c r="R634" s="550"/>
      <c r="S634" s="550"/>
      <c r="T634" s="268"/>
      <c r="U634" s="550" t="s">
        <v>683</v>
      </c>
      <c r="V634" s="550"/>
      <c r="W634" s="550"/>
      <c r="X634" s="550"/>
      <c r="Y634" s="550"/>
      <c r="Z634" s="550"/>
      <c r="AA634" s="550"/>
    </row>
    <row r="635" spans="3:43" ht="24.6" customHeight="1" x14ac:dyDescent="0.3">
      <c r="C635" s="549"/>
      <c r="D635" s="549" t="s">
        <v>684</v>
      </c>
      <c r="E635" s="549" t="s">
        <v>685</v>
      </c>
      <c r="F635" s="549" t="s">
        <v>684</v>
      </c>
      <c r="G635" s="549" t="s">
        <v>685</v>
      </c>
      <c r="H635" s="549" t="s">
        <v>684</v>
      </c>
      <c r="I635" s="549" t="s">
        <v>685</v>
      </c>
      <c r="J635" s="549" t="s">
        <v>684</v>
      </c>
      <c r="K635" s="549" t="s">
        <v>685</v>
      </c>
      <c r="L635" s="550" t="s">
        <v>686</v>
      </c>
      <c r="M635" s="550" t="s">
        <v>686</v>
      </c>
      <c r="N635" s="550" t="s">
        <v>686</v>
      </c>
      <c r="O635" s="550" t="s">
        <v>687</v>
      </c>
      <c r="P635" s="550" t="s">
        <v>688</v>
      </c>
      <c r="Q635" s="550" t="s">
        <v>689</v>
      </c>
      <c r="R635" s="550" t="s">
        <v>690</v>
      </c>
      <c r="S635" s="550" t="s">
        <v>691</v>
      </c>
      <c r="T635" s="268"/>
      <c r="U635" s="329" t="s">
        <v>692</v>
      </c>
      <c r="V635" s="329" t="s">
        <v>693</v>
      </c>
      <c r="W635" s="329" t="s">
        <v>694</v>
      </c>
      <c r="X635" s="329" t="s">
        <v>695</v>
      </c>
      <c r="Y635" s="551" t="s">
        <v>696</v>
      </c>
      <c r="Z635" s="552" t="s">
        <v>697</v>
      </c>
      <c r="AA635" s="553" t="s">
        <v>698</v>
      </c>
      <c r="AD635" s="330">
        <f>F2</f>
        <v>2020</v>
      </c>
      <c r="AJ635" s="213" t="s">
        <v>699</v>
      </c>
      <c r="AM635" s="287"/>
      <c r="AN635" s="287"/>
      <c r="AQ635" s="287"/>
    </row>
    <row r="636" spans="3:43" ht="16.5" x14ac:dyDescent="0.3">
      <c r="C636" s="549"/>
      <c r="D636" s="549"/>
      <c r="E636" s="549"/>
      <c r="F636" s="549"/>
      <c r="G636" s="549"/>
      <c r="H636" s="549"/>
      <c r="I636" s="549"/>
      <c r="J636" s="549"/>
      <c r="K636" s="549"/>
      <c r="L636" s="550"/>
      <c r="M636" s="550"/>
      <c r="N636" s="550"/>
      <c r="O636" s="550"/>
      <c r="P636" s="550"/>
      <c r="Q636" s="550"/>
      <c r="R636" s="550"/>
      <c r="S636" s="550"/>
      <c r="T636" s="268"/>
      <c r="U636" s="331" t="s">
        <v>700</v>
      </c>
      <c r="V636" s="331" t="s">
        <v>700</v>
      </c>
      <c r="W636" s="331" t="s">
        <v>700</v>
      </c>
      <c r="X636" s="331" t="s">
        <v>700</v>
      </c>
      <c r="Y636" s="551"/>
      <c r="Z636" s="552"/>
      <c r="AA636" s="553"/>
      <c r="AC636" s="332"/>
      <c r="AD636" s="333"/>
      <c r="AJ636" s="213"/>
      <c r="AK636" t="s">
        <v>648</v>
      </c>
      <c r="AN636" s="334">
        <f>'6.1_Resultats Illes Balears'!H19</f>
        <v>0</v>
      </c>
      <c r="AQ636" s="287"/>
    </row>
    <row r="637" spans="3:43" ht="16.5" x14ac:dyDescent="0.3">
      <c r="C637" s="335">
        <v>2005</v>
      </c>
      <c r="D637" s="336">
        <v>445320.16634260002</v>
      </c>
      <c r="E637" s="337">
        <f t="shared" ref="E637:E652" si="61">D637*1000/86</f>
        <v>5178141.4690999994</v>
      </c>
      <c r="F637" s="338" t="str">
        <f t="shared" ref="F637:F652" si="62">IF(G637="","",G637*86/1000)</f>
        <v/>
      </c>
      <c r="G637" s="337" t="str">
        <f t="shared" ref="G637:G652" si="63">IF(I637="","",E637-I637)</f>
        <v/>
      </c>
      <c r="H637" s="338" t="str">
        <f t="shared" ref="H637:H652" si="64">IF(I637="","",I637*86/1000)</f>
        <v/>
      </c>
      <c r="I637" s="336"/>
      <c r="J637" s="339"/>
      <c r="K637" s="338" t="str">
        <f t="shared" ref="K637:K652" si="65">IF(J637="","",J637*1000/86)</f>
        <v/>
      </c>
      <c r="L637" s="340"/>
      <c r="M637" s="341" t="s">
        <v>701</v>
      </c>
      <c r="N637" s="341" t="s">
        <v>701</v>
      </c>
      <c r="O637" s="342" t="s">
        <v>701</v>
      </c>
      <c r="P637" s="340">
        <v>5045.3379768000004</v>
      </c>
      <c r="Q637" s="343">
        <v>17159.002995751998</v>
      </c>
      <c r="R637" s="343">
        <v>13102.828203487999</v>
      </c>
      <c r="S637" s="343">
        <v>1280.9457491200901</v>
      </c>
      <c r="T637" s="335">
        <v>2005</v>
      </c>
      <c r="U637" s="344">
        <f t="shared" ref="U637:U642" si="66">P637/(D637/86)</f>
        <v>0.97435305831397423</v>
      </c>
      <c r="V637" s="344" t="str">
        <f t="shared" ref="V637:V652" si="67">IF(I637="","",(P637+(J637*O637/86)*N637)/(F637/86))</f>
        <v/>
      </c>
      <c r="W637" s="344" t="str">
        <f t="shared" ref="W637:W652" si="68">IF(I637="","",(G637*V637+I637*X637)/E637)</f>
        <v/>
      </c>
      <c r="X637" s="344">
        <v>0</v>
      </c>
      <c r="Y637" s="345">
        <f t="shared" ref="Y637:Y652" si="69">Q637/(D637/86)</f>
        <v>3.3137377760237907</v>
      </c>
      <c r="Z637" s="346">
        <f t="shared" ref="Z637:Z652" si="70">R637/(D637/86)</f>
        <v>2.5304113998579822</v>
      </c>
      <c r="AA637" s="347">
        <f t="shared" ref="AA637:AA652" si="71">S637/(D637/86)</f>
        <v>0.24737557997671472</v>
      </c>
      <c r="AC637" s="332" t="s">
        <v>702</v>
      </c>
      <c r="AD637" s="332">
        <f>VLOOKUP(AD635,_MixIB,5,FALSE())</f>
        <v>0</v>
      </c>
      <c r="AJ637" s="213"/>
      <c r="AM637" s="287"/>
      <c r="AN637" s="287"/>
      <c r="AQ637" s="287"/>
    </row>
    <row r="638" spans="3:43" ht="16.5" x14ac:dyDescent="0.3">
      <c r="C638" s="335">
        <v>2006</v>
      </c>
      <c r="D638" s="336">
        <v>460967.981058</v>
      </c>
      <c r="E638" s="337">
        <f t="shared" si="61"/>
        <v>5360092.8030000003</v>
      </c>
      <c r="F638" s="338" t="str">
        <f t="shared" si="62"/>
        <v/>
      </c>
      <c r="G638" s="337" t="str">
        <f t="shared" si="63"/>
        <v/>
      </c>
      <c r="H638" s="338" t="str">
        <f t="shared" si="64"/>
        <v/>
      </c>
      <c r="I638" s="336"/>
      <c r="J638" s="339"/>
      <c r="K638" s="338" t="str">
        <f t="shared" si="65"/>
        <v/>
      </c>
      <c r="L638" s="343"/>
      <c r="M638" s="348" t="s">
        <v>701</v>
      </c>
      <c r="N638" s="348" t="s">
        <v>701</v>
      </c>
      <c r="O638" s="342" t="s">
        <v>701</v>
      </c>
      <c r="P638" s="343">
        <v>4911.5343200999996</v>
      </c>
      <c r="Q638" s="343">
        <v>16468.325431000001</v>
      </c>
      <c r="R638" s="343">
        <v>24405.128164999998</v>
      </c>
      <c r="S638" s="343">
        <v>2013.6340889999999</v>
      </c>
      <c r="T638" s="335">
        <v>2006</v>
      </c>
      <c r="U638" s="344">
        <f t="shared" si="66"/>
        <v>0.9163151647954777</v>
      </c>
      <c r="V638" s="344" t="str">
        <f t="shared" si="67"/>
        <v/>
      </c>
      <c r="W638" s="344" t="str">
        <f t="shared" si="68"/>
        <v/>
      </c>
      <c r="X638" s="344">
        <v>0</v>
      </c>
      <c r="Y638" s="345">
        <f t="shared" si="69"/>
        <v>3.0723955790061717</v>
      </c>
      <c r="Z638" s="346">
        <f t="shared" si="70"/>
        <v>4.5531167205427199</v>
      </c>
      <c r="AA638" s="347">
        <f t="shared" si="71"/>
        <v>0.37567149730560362</v>
      </c>
      <c r="AC638" s="332" t="s">
        <v>21</v>
      </c>
      <c r="AD638" s="333">
        <f>VLOOKUP(AD635,_MixIB,2,FALSE())</f>
        <v>0.49299999999999999</v>
      </c>
      <c r="AF638" t="e">
        <f>VLOOKUP(Dades!AD641,Dades!$AC$636:$AD$638,2,0)</f>
        <v>#N/A</v>
      </c>
      <c r="AJ638" s="213"/>
      <c r="AK638" s="301"/>
      <c r="AM638" s="287"/>
      <c r="AN638" s="287"/>
      <c r="AQ638" s="287"/>
    </row>
    <row r="639" spans="3:43" x14ac:dyDescent="0.25">
      <c r="C639" s="335">
        <v>2007</v>
      </c>
      <c r="D639" s="336">
        <v>473126.86341599998</v>
      </c>
      <c r="E639" s="337">
        <f t="shared" si="61"/>
        <v>5501475.1559999995</v>
      </c>
      <c r="F639" s="338" t="str">
        <f t="shared" si="62"/>
        <v/>
      </c>
      <c r="G639" s="337" t="str">
        <f t="shared" si="63"/>
        <v/>
      </c>
      <c r="H639" s="338" t="str">
        <f t="shared" si="64"/>
        <v/>
      </c>
      <c r="I639" s="336"/>
      <c r="J639" s="339"/>
      <c r="K639" s="338" t="str">
        <f t="shared" si="65"/>
        <v/>
      </c>
      <c r="L639" s="343"/>
      <c r="M639" s="343">
        <v>0.4</v>
      </c>
      <c r="N639" s="343">
        <v>0.45</v>
      </c>
      <c r="O639" s="349">
        <f>1-M639/N639</f>
        <v>0.11111111111111105</v>
      </c>
      <c r="P639" s="343">
        <v>4985.6249906000003</v>
      </c>
      <c r="Q639" s="343">
        <v>14060.964943000001</v>
      </c>
      <c r="R639" s="343">
        <v>22089.996789000001</v>
      </c>
      <c r="S639" s="343">
        <v>861.96031300000004</v>
      </c>
      <c r="T639" s="335">
        <v>2007</v>
      </c>
      <c r="U639" s="344">
        <f t="shared" si="66"/>
        <v>0.9062342097760081</v>
      </c>
      <c r="V639" s="344" t="str">
        <f t="shared" si="67"/>
        <v/>
      </c>
      <c r="W639" s="344" t="str">
        <f t="shared" si="68"/>
        <v/>
      </c>
      <c r="X639" s="344">
        <v>0</v>
      </c>
      <c r="Y639" s="345">
        <f t="shared" si="69"/>
        <v>2.5558535745935127</v>
      </c>
      <c r="Z639" s="346">
        <f t="shared" si="70"/>
        <v>4.0152861119273231</v>
      </c>
      <c r="AA639" s="347">
        <f t="shared" si="71"/>
        <v>0.15667803426503379</v>
      </c>
      <c r="AJ639" s="213"/>
    </row>
    <row r="640" spans="3:43" x14ac:dyDescent="0.25">
      <c r="C640" s="335">
        <v>2008</v>
      </c>
      <c r="D640" s="336">
        <v>489546.91600000003</v>
      </c>
      <c r="E640" s="337">
        <f t="shared" si="61"/>
        <v>5692406</v>
      </c>
      <c r="F640" s="338" t="str">
        <f t="shared" si="62"/>
        <v/>
      </c>
      <c r="G640" s="337" t="str">
        <f t="shared" si="63"/>
        <v/>
      </c>
      <c r="H640" s="338" t="str">
        <f t="shared" si="64"/>
        <v/>
      </c>
      <c r="I640" s="336"/>
      <c r="J640" s="339"/>
      <c r="K640" s="338" t="str">
        <f t="shared" si="65"/>
        <v/>
      </c>
      <c r="L640" s="343"/>
      <c r="M640" s="348" t="s">
        <v>701</v>
      </c>
      <c r="N640" s="348" t="s">
        <v>701</v>
      </c>
      <c r="O640" s="342" t="s">
        <v>701</v>
      </c>
      <c r="P640" s="343">
        <v>5262.4961990000002</v>
      </c>
      <c r="Q640" s="343">
        <v>12468.962111000001</v>
      </c>
      <c r="R640" s="343">
        <v>26902.130928669299</v>
      </c>
      <c r="S640" s="343">
        <v>661.49313728206505</v>
      </c>
      <c r="T640" s="335">
        <v>2008</v>
      </c>
      <c r="U640" s="344">
        <f t="shared" si="66"/>
        <v>0.92447660953909472</v>
      </c>
      <c r="V640" s="344" t="str">
        <f t="shared" si="67"/>
        <v/>
      </c>
      <c r="W640" s="344" t="str">
        <f t="shared" si="68"/>
        <v/>
      </c>
      <c r="X640" s="344">
        <v>0</v>
      </c>
      <c r="Y640" s="345">
        <f t="shared" si="69"/>
        <v>2.1904555140655817</v>
      </c>
      <c r="Z640" s="346">
        <f t="shared" si="70"/>
        <v>4.7259684092577547</v>
      </c>
      <c r="AA640" s="347">
        <f t="shared" si="71"/>
        <v>0.11620624693355763</v>
      </c>
      <c r="AC640" t="s">
        <v>703</v>
      </c>
    </row>
    <row r="641" spans="3:43" x14ac:dyDescent="0.25">
      <c r="C641" s="335">
        <v>2009</v>
      </c>
      <c r="D641" s="336">
        <v>471327</v>
      </c>
      <c r="E641" s="337">
        <f t="shared" si="61"/>
        <v>5480546.5116279069</v>
      </c>
      <c r="F641" s="338" t="str">
        <f t="shared" si="62"/>
        <v/>
      </c>
      <c r="G641" s="337" t="str">
        <f t="shared" si="63"/>
        <v/>
      </c>
      <c r="H641" s="338" t="str">
        <f t="shared" si="64"/>
        <v/>
      </c>
      <c r="I641" s="336"/>
      <c r="J641" s="339"/>
      <c r="K641" s="338" t="str">
        <f t="shared" si="65"/>
        <v/>
      </c>
      <c r="L641" s="343"/>
      <c r="M641" s="343">
        <v>0.27</v>
      </c>
      <c r="N641" s="343">
        <v>0.33</v>
      </c>
      <c r="O641" s="349">
        <f t="shared" ref="O641:O652" si="72">1-M641/N641</f>
        <v>0.18181818181818177</v>
      </c>
      <c r="P641" s="343">
        <v>5396.7790587</v>
      </c>
      <c r="Q641" s="343">
        <v>11892.318902999999</v>
      </c>
      <c r="R641" s="343">
        <v>24211.6379288887</v>
      </c>
      <c r="S641" s="343">
        <v>454.01799389677097</v>
      </c>
      <c r="T641" s="335">
        <v>2009</v>
      </c>
      <c r="U641" s="344">
        <f t="shared" si="66"/>
        <v>0.98471549274325454</v>
      </c>
      <c r="V641" s="344" t="str">
        <f t="shared" si="67"/>
        <v/>
      </c>
      <c r="W641" s="344" t="str">
        <f t="shared" si="68"/>
        <v/>
      </c>
      <c r="X641" s="344">
        <v>0</v>
      </c>
      <c r="Y641" s="345">
        <f t="shared" si="69"/>
        <v>2.1699147845508531</v>
      </c>
      <c r="Z641" s="346">
        <f t="shared" si="70"/>
        <v>4.4177415295207529</v>
      </c>
      <c r="AA641" s="347">
        <f t="shared" si="71"/>
        <v>8.2841737212428532E-2</v>
      </c>
      <c r="AC641" s="332" t="s">
        <v>704</v>
      </c>
      <c r="AD641" s="332">
        <f>'4.1_Electricitat Illes Balears'!G21</f>
        <v>0</v>
      </c>
      <c r="AE641" s="350">
        <f>'4.1_Electricitat Illes Balears'!H21</f>
        <v>0</v>
      </c>
      <c r="AF641" s="333">
        <f t="shared" ref="AF641:AF662" si="73">IF(AD641=$AC$636,$AD$636,IF(AD641=$AC$637,$AD$637,IF(AD641=$AC$638,$AD$638,0)))</f>
        <v>0</v>
      </c>
      <c r="AG641" s="333">
        <f t="shared" ref="AG641:AG662" si="74">AE641*AF641</f>
        <v>0</v>
      </c>
      <c r="AH641" s="332">
        <f>SUM(AG641:AG662)</f>
        <v>0</v>
      </c>
    </row>
    <row r="642" spans="3:43" x14ac:dyDescent="0.25">
      <c r="C642" s="335">
        <v>2010</v>
      </c>
      <c r="D642" s="336">
        <v>462212.41808600002</v>
      </c>
      <c r="E642" s="337">
        <f t="shared" si="61"/>
        <v>5374563.0010000002</v>
      </c>
      <c r="F642" s="338" t="str">
        <f t="shared" si="62"/>
        <v/>
      </c>
      <c r="G642" s="337" t="str">
        <f t="shared" si="63"/>
        <v/>
      </c>
      <c r="H642" s="338" t="str">
        <f t="shared" si="64"/>
        <v/>
      </c>
      <c r="I642" s="336"/>
      <c r="J642" s="339"/>
      <c r="K642" s="338" t="str">
        <f t="shared" si="65"/>
        <v/>
      </c>
      <c r="L642" s="343"/>
      <c r="M642" s="343">
        <v>0.24</v>
      </c>
      <c r="N642" s="343">
        <v>0.31</v>
      </c>
      <c r="O642" s="349">
        <f t="shared" si="72"/>
        <v>0.22580645161290325</v>
      </c>
      <c r="P642" s="343">
        <v>5263.1609055999998</v>
      </c>
      <c r="Q642" s="343">
        <v>11254.434600000001</v>
      </c>
      <c r="R642" s="343">
        <v>23564.878256244901</v>
      </c>
      <c r="S642" s="343">
        <v>534.92430208972405</v>
      </c>
      <c r="T642" s="335">
        <v>2010</v>
      </c>
      <c r="U642" s="344">
        <f t="shared" si="66"/>
        <v>0.9792723435599745</v>
      </c>
      <c r="V642" s="344" t="str">
        <f t="shared" si="67"/>
        <v/>
      </c>
      <c r="W642" s="344" t="str">
        <f t="shared" si="68"/>
        <v/>
      </c>
      <c r="X642" s="344">
        <v>0</v>
      </c>
      <c r="Y642" s="345">
        <f t="shared" si="69"/>
        <v>2.094018545862423</v>
      </c>
      <c r="Z642" s="346">
        <f t="shared" si="70"/>
        <v>4.3845198673567287</v>
      </c>
      <c r="AA642" s="347">
        <f t="shared" si="71"/>
        <v>9.9528892300675451E-2</v>
      </c>
      <c r="AC642" s="332" t="s">
        <v>705</v>
      </c>
      <c r="AD642" s="332">
        <f>'4.1_Electricitat Illes Balears'!G22</f>
        <v>0</v>
      </c>
      <c r="AE642" s="350">
        <f>'4.1_Electricitat Illes Balears'!H22</f>
        <v>0</v>
      </c>
      <c r="AF642" s="333">
        <f t="shared" si="73"/>
        <v>0</v>
      </c>
      <c r="AG642" s="333">
        <f t="shared" si="74"/>
        <v>0</v>
      </c>
      <c r="AM642" t="s">
        <v>15</v>
      </c>
      <c r="AN642" t="s">
        <v>16</v>
      </c>
      <c r="AO642" t="s">
        <v>17</v>
      </c>
      <c r="AP642" t="s">
        <v>649</v>
      </c>
    </row>
    <row r="643" spans="3:43" x14ac:dyDescent="0.25">
      <c r="C643" s="335">
        <v>2011</v>
      </c>
      <c r="D643" s="336">
        <v>455503.52792167198</v>
      </c>
      <c r="E643" s="337">
        <f t="shared" si="61"/>
        <v>5296552.6502519995</v>
      </c>
      <c r="F643" s="338" t="str">
        <f t="shared" si="62"/>
        <v/>
      </c>
      <c r="G643" s="337" t="str">
        <f t="shared" si="63"/>
        <v/>
      </c>
      <c r="H643" s="338" t="str">
        <f t="shared" si="64"/>
        <v/>
      </c>
      <c r="I643" s="336"/>
      <c r="J643" s="351">
        <v>43</v>
      </c>
      <c r="K643" s="338">
        <f t="shared" si="65"/>
        <v>500</v>
      </c>
      <c r="L643" s="352">
        <v>0.27500000000000002</v>
      </c>
      <c r="M643" s="343">
        <v>0.28999999999999998</v>
      </c>
      <c r="N643" s="343">
        <v>0.36</v>
      </c>
      <c r="O643" s="349">
        <f t="shared" si="72"/>
        <v>0.19444444444444442</v>
      </c>
      <c r="P643" s="343">
        <v>5095.0975453000001</v>
      </c>
      <c r="Q643" s="343">
        <v>9415.1281560000007</v>
      </c>
      <c r="R643" s="343">
        <v>21144.5447357548</v>
      </c>
      <c r="S643" s="343">
        <v>527.62573270793496</v>
      </c>
      <c r="T643" s="335">
        <v>2011</v>
      </c>
      <c r="U643" s="344">
        <f t="shared" ref="U643:U651" si="75">(P643+(J643/86)*L643)/(D643/86)</f>
        <v>0.96199082341937614</v>
      </c>
      <c r="V643" s="344" t="str">
        <f t="shared" si="67"/>
        <v/>
      </c>
      <c r="W643" s="344" t="str">
        <f t="shared" si="68"/>
        <v/>
      </c>
      <c r="X643" s="344">
        <v>0</v>
      </c>
      <c r="Y643" s="345">
        <f t="shared" si="69"/>
        <v>1.7775954998865247</v>
      </c>
      <c r="Z643" s="346">
        <f t="shared" si="70"/>
        <v>3.9921333992118031</v>
      </c>
      <c r="AA643" s="347">
        <f t="shared" si="71"/>
        <v>9.961682013730791E-2</v>
      </c>
      <c r="AC643" s="332" t="s">
        <v>706</v>
      </c>
      <c r="AD643" s="332">
        <f>'4.1_Electricitat Illes Balears'!G23</f>
        <v>0</v>
      </c>
      <c r="AE643" s="350">
        <f>'4.1_Electricitat Illes Balears'!H23</f>
        <v>0</v>
      </c>
      <c r="AF643" s="333">
        <f t="shared" si="73"/>
        <v>0</v>
      </c>
      <c r="AG643" s="333">
        <f t="shared" si="74"/>
        <v>0</v>
      </c>
      <c r="AL643" s="268" t="s">
        <v>647</v>
      </c>
      <c r="AM643" s="206" t="str">
        <f>IF(ISNUMBER('0_Dades generals organització'!H15),'0_Dades generals organització'!H15,"")</f>
        <v/>
      </c>
      <c r="AN643" s="206" t="str">
        <f>IF(ISNUMBER('0_Dades generals organització'!H17),'0_Dades generals organització'!H17,"")</f>
        <v/>
      </c>
      <c r="AO643" s="206" t="str">
        <f>IF(ISNUMBER('0_Dades generals organització'!H19),'0_Dades generals organització'!H19,"")</f>
        <v/>
      </c>
      <c r="AP643" s="206">
        <f>IF(ISNUMBER('0_Dades generals organització'!G3),'0_Dades generals organització'!G3,"")</f>
        <v>2020</v>
      </c>
    </row>
    <row r="644" spans="3:43" x14ac:dyDescent="0.25">
      <c r="C644" s="335">
        <v>2012</v>
      </c>
      <c r="D644" s="336">
        <v>456553.38004677201</v>
      </c>
      <c r="E644" s="337">
        <f t="shared" si="61"/>
        <v>5308760.2331020003</v>
      </c>
      <c r="F644" s="338" t="str">
        <f t="shared" si="62"/>
        <v/>
      </c>
      <c r="G644" s="337" t="str">
        <f t="shared" si="63"/>
        <v/>
      </c>
      <c r="H644" s="338" t="str">
        <f t="shared" si="64"/>
        <v/>
      </c>
      <c r="I644" s="336"/>
      <c r="J644" s="351">
        <v>49088.885999999999</v>
      </c>
      <c r="K644" s="338">
        <f t="shared" si="65"/>
        <v>570801</v>
      </c>
      <c r="L644" s="352">
        <v>0.3</v>
      </c>
      <c r="M644" s="343">
        <v>0.33</v>
      </c>
      <c r="N644" s="343">
        <v>0.4</v>
      </c>
      <c r="O644" s="349">
        <f t="shared" si="72"/>
        <v>0.17500000000000004</v>
      </c>
      <c r="P644" s="343">
        <v>4571.2629151000001</v>
      </c>
      <c r="Q644" s="343">
        <v>8580.4574260000009</v>
      </c>
      <c r="R644" s="343">
        <v>19153.485341880001</v>
      </c>
      <c r="S644" s="343">
        <v>423.2018228</v>
      </c>
      <c r="T644" s="335">
        <v>2012</v>
      </c>
      <c r="U644" s="344">
        <f t="shared" si="75"/>
        <v>0.8933353564413804</v>
      </c>
      <c r="V644" s="344" t="str">
        <f t="shared" si="67"/>
        <v/>
      </c>
      <c r="W644" s="344" t="str">
        <f t="shared" si="68"/>
        <v/>
      </c>
      <c r="X644" s="344">
        <v>0</v>
      </c>
      <c r="Y644" s="345">
        <f t="shared" si="69"/>
        <v>1.6162827193621989</v>
      </c>
      <c r="Z644" s="346">
        <f t="shared" si="70"/>
        <v>3.6079017512320934</v>
      </c>
      <c r="AA644" s="347">
        <f t="shared" si="71"/>
        <v>7.9717637304692501E-2</v>
      </c>
      <c r="AC644" s="332" t="s">
        <v>707</v>
      </c>
      <c r="AD644" s="332">
        <f>'4.1_Electricitat Illes Balears'!G24</f>
        <v>0</v>
      </c>
      <c r="AE644" s="350">
        <f>'4.1_Electricitat Illes Balears'!H24</f>
        <v>0</v>
      </c>
      <c r="AF644" s="333">
        <f t="shared" si="73"/>
        <v>0</v>
      </c>
      <c r="AG644" s="333">
        <f t="shared" si="74"/>
        <v>0</v>
      </c>
      <c r="AL644" s="268" t="s">
        <v>650</v>
      </c>
      <c r="AM644" s="304">
        <f>ROUND('0_Dades generals organització'!J30,2)</f>
        <v>0</v>
      </c>
      <c r="AN644" s="304">
        <f>ROUND('0_Dades generals organització'!J31,2)</f>
        <v>0</v>
      </c>
      <c r="AO644" s="304">
        <f>ROUND('0_Dades generals organització'!J32,2)</f>
        <v>0</v>
      </c>
      <c r="AP644" s="304">
        <f>ROUND('0_Dades generals organització'!J28,2)</f>
        <v>0</v>
      </c>
      <c r="AQ644" s="305" t="s">
        <v>651</v>
      </c>
    </row>
    <row r="645" spans="3:43" x14ac:dyDescent="0.25">
      <c r="C645" s="335">
        <v>2013</v>
      </c>
      <c r="D645" s="336">
        <v>439291.54794126598</v>
      </c>
      <c r="E645" s="337">
        <f t="shared" si="61"/>
        <v>5108041.2551309997</v>
      </c>
      <c r="F645" s="338" t="str">
        <f t="shared" si="62"/>
        <v/>
      </c>
      <c r="G645" s="337" t="str">
        <f t="shared" si="63"/>
        <v/>
      </c>
      <c r="H645" s="338" t="str">
        <f t="shared" si="64"/>
        <v/>
      </c>
      <c r="I645" s="336"/>
      <c r="J645" s="351">
        <v>109091.774</v>
      </c>
      <c r="K645" s="338">
        <f t="shared" si="65"/>
        <v>1268509</v>
      </c>
      <c r="L645" s="352">
        <v>0.24</v>
      </c>
      <c r="M645" s="343">
        <v>0.27</v>
      </c>
      <c r="N645" s="343">
        <v>0.36</v>
      </c>
      <c r="O645" s="349">
        <f t="shared" si="72"/>
        <v>0.24999999999999989</v>
      </c>
      <c r="P645" s="343">
        <v>3873.6547596999999</v>
      </c>
      <c r="Q645" s="343">
        <v>7120.1738029999997</v>
      </c>
      <c r="R645" s="343">
        <v>13516.6634531285</v>
      </c>
      <c r="S645" s="343">
        <v>327.01987805520201</v>
      </c>
      <c r="T645" s="335">
        <v>2013</v>
      </c>
      <c r="U645" s="344">
        <f t="shared" si="75"/>
        <v>0.81794502256674684</v>
      </c>
      <c r="V645" s="344" t="str">
        <f t="shared" si="67"/>
        <v/>
      </c>
      <c r="W645" s="344" t="str">
        <f t="shared" si="68"/>
        <v/>
      </c>
      <c r="X645" s="344">
        <v>0</v>
      </c>
      <c r="Y645" s="345">
        <f t="shared" si="69"/>
        <v>1.3939147018140903</v>
      </c>
      <c r="Z645" s="346">
        <f t="shared" si="70"/>
        <v>2.6461539322046557</v>
      </c>
      <c r="AA645" s="347">
        <f t="shared" si="71"/>
        <v>6.4020602364303986E-2</v>
      </c>
      <c r="AC645" s="332" t="s">
        <v>708</v>
      </c>
      <c r="AD645" s="332">
        <f>'4.1_Electricitat Illes Balears'!G25</f>
        <v>0</v>
      </c>
      <c r="AE645" s="350">
        <f>'4.1_Electricitat Illes Balears'!H25</f>
        <v>0</v>
      </c>
      <c r="AF645" s="333">
        <f t="shared" si="73"/>
        <v>0</v>
      </c>
      <c r="AG645" s="333">
        <f t="shared" si="74"/>
        <v>0</v>
      </c>
      <c r="AL645" s="268" t="s">
        <v>652</v>
      </c>
      <c r="AM645" s="304">
        <f>ROUND('0_Dades generals organització'!I42,2)</f>
        <v>0</v>
      </c>
      <c r="AN645" s="304">
        <f>ROUND('0_Dades generals organització'!I43,2)</f>
        <v>0</v>
      </c>
      <c r="AO645" s="304">
        <f>ROUND('0_Dades generals organització'!I44,2)</f>
        <v>0</v>
      </c>
      <c r="AP645" s="304">
        <f>ROUND('0_Dades generals organització'!I40,2)</f>
        <v>0</v>
      </c>
      <c r="AQ645" s="305" t="s">
        <v>651</v>
      </c>
    </row>
    <row r="646" spans="3:43" x14ac:dyDescent="0.25">
      <c r="C646" s="335">
        <v>2014</v>
      </c>
      <c r="D646" s="336">
        <v>437381.04215450399</v>
      </c>
      <c r="E646" s="337">
        <f t="shared" si="61"/>
        <v>5085826.0715640001</v>
      </c>
      <c r="F646" s="338" t="str">
        <f t="shared" si="62"/>
        <v/>
      </c>
      <c r="G646" s="337" t="str">
        <f t="shared" si="63"/>
        <v/>
      </c>
      <c r="H646" s="338" t="str">
        <f t="shared" si="64"/>
        <v/>
      </c>
      <c r="I646" s="336"/>
      <c r="J646" s="351">
        <v>111628</v>
      </c>
      <c r="K646" s="338">
        <f t="shared" si="65"/>
        <v>1298000</v>
      </c>
      <c r="L646" s="352">
        <v>0.248</v>
      </c>
      <c r="M646" s="343">
        <v>0.27</v>
      </c>
      <c r="N646" s="343">
        <v>0.37</v>
      </c>
      <c r="O646" s="349">
        <f t="shared" si="72"/>
        <v>0.27027027027027017</v>
      </c>
      <c r="P646" s="343">
        <v>3594.3811157999999</v>
      </c>
      <c r="Q646" s="343">
        <v>7377.8376366683497</v>
      </c>
      <c r="R646" s="343">
        <v>11694.717815</v>
      </c>
      <c r="S646" s="343">
        <v>285.23056137493001</v>
      </c>
      <c r="T646" s="335">
        <v>2014</v>
      </c>
      <c r="U646" s="344">
        <f t="shared" si="75"/>
        <v>0.77003913635521926</v>
      </c>
      <c r="V646" s="344" t="str">
        <f t="shared" si="67"/>
        <v/>
      </c>
      <c r="W646" s="344" t="str">
        <f t="shared" si="68"/>
        <v/>
      </c>
      <c r="X646" s="344">
        <v>0</v>
      </c>
      <c r="Y646" s="345">
        <f t="shared" si="69"/>
        <v>1.4506665255266009</v>
      </c>
      <c r="Z646" s="346">
        <f t="shared" si="70"/>
        <v>2.299472622626205</v>
      </c>
      <c r="AA646" s="347">
        <f t="shared" si="71"/>
        <v>5.6083428210358666E-2</v>
      </c>
      <c r="AC646" s="332" t="s">
        <v>709</v>
      </c>
      <c r="AD646" s="332">
        <f>'4.1_Electricitat Illes Balears'!G26</f>
        <v>0</v>
      </c>
      <c r="AE646" s="350">
        <f>'4.1_Electricitat Illes Balears'!H26</f>
        <v>0</v>
      </c>
      <c r="AF646" s="333">
        <f t="shared" si="73"/>
        <v>0</v>
      </c>
      <c r="AG646" s="333">
        <f t="shared" si="74"/>
        <v>0</v>
      </c>
      <c r="AL646" s="268" t="s">
        <v>14</v>
      </c>
      <c r="AM646" s="304">
        <f>ROUND('0_Dades generals organització'!J42,2)</f>
        <v>0</v>
      </c>
      <c r="AN646" s="304">
        <f>ROUND('0_Dades generals organització'!J43,2)</f>
        <v>0</v>
      </c>
      <c r="AO646" s="304">
        <f>ROUND('0_Dades generals organització'!J44,2)</f>
        <v>0</v>
      </c>
      <c r="AP646" s="304">
        <f>ROUND('0_Dades generals organització'!J40,2)</f>
        <v>0</v>
      </c>
      <c r="AQ646" s="305" t="s">
        <v>651</v>
      </c>
    </row>
    <row r="647" spans="3:43" x14ac:dyDescent="0.25">
      <c r="C647" s="335">
        <v>2015</v>
      </c>
      <c r="D647" s="336">
        <v>457687.02138638397</v>
      </c>
      <c r="E647" s="337">
        <f t="shared" si="61"/>
        <v>5321942.1091439994</v>
      </c>
      <c r="F647" s="338" t="str">
        <f t="shared" si="62"/>
        <v/>
      </c>
      <c r="G647" s="337" t="str">
        <f t="shared" si="63"/>
        <v/>
      </c>
      <c r="H647" s="338" t="str">
        <f t="shared" si="64"/>
        <v/>
      </c>
      <c r="I647" s="336"/>
      <c r="J647" s="351">
        <v>114896</v>
      </c>
      <c r="K647" s="338">
        <f t="shared" si="65"/>
        <v>1336000</v>
      </c>
      <c r="L647" s="352">
        <v>0.26671348569578601</v>
      </c>
      <c r="M647" s="343">
        <v>0.3</v>
      </c>
      <c r="N647" s="343">
        <v>0.4</v>
      </c>
      <c r="O647" s="349">
        <f t="shared" si="72"/>
        <v>0.25000000000000011</v>
      </c>
      <c r="P647" s="343">
        <v>3750.6752360999999</v>
      </c>
      <c r="Q647" s="343">
        <v>5632.1525283202</v>
      </c>
      <c r="R647" s="343">
        <v>9563.1022594000005</v>
      </c>
      <c r="S647" s="343">
        <v>221.948655548695</v>
      </c>
      <c r="T647" s="335">
        <v>2015</v>
      </c>
      <c r="U647" s="344">
        <f t="shared" si="75"/>
        <v>0.77171159865362682</v>
      </c>
      <c r="V647" s="344" t="str">
        <f t="shared" si="67"/>
        <v/>
      </c>
      <c r="W647" s="344" t="str">
        <f t="shared" si="68"/>
        <v/>
      </c>
      <c r="X647" s="344">
        <v>0</v>
      </c>
      <c r="Y647" s="345">
        <f t="shared" si="69"/>
        <v>1.0582889503144361</v>
      </c>
      <c r="Z647" s="346">
        <f t="shared" si="70"/>
        <v>1.7969196325846852</v>
      </c>
      <c r="AA647" s="347">
        <f t="shared" si="71"/>
        <v>4.1704447548828003E-2</v>
      </c>
      <c r="AC647" s="332" t="s">
        <v>710</v>
      </c>
      <c r="AD647" s="332">
        <f>'4.1_Electricitat Illes Balears'!G27</f>
        <v>0</v>
      </c>
      <c r="AE647" s="350">
        <f>'4.1_Electricitat Illes Balears'!H27</f>
        <v>0</v>
      </c>
      <c r="AF647" s="333">
        <f t="shared" si="73"/>
        <v>0</v>
      </c>
      <c r="AG647" s="333">
        <f t="shared" si="74"/>
        <v>0</v>
      </c>
      <c r="AQ647" s="305"/>
    </row>
    <row r="648" spans="3:43" x14ac:dyDescent="0.25">
      <c r="C648" s="335">
        <v>2016</v>
      </c>
      <c r="D648" s="336">
        <v>459007.91127109999</v>
      </c>
      <c r="E648" s="337">
        <f t="shared" si="61"/>
        <v>5337301.29385</v>
      </c>
      <c r="F648" s="338" t="str">
        <f t="shared" si="62"/>
        <v/>
      </c>
      <c r="G648" s="337" t="str">
        <f t="shared" si="63"/>
        <v/>
      </c>
      <c r="H648" s="338" t="str">
        <f t="shared" si="64"/>
        <v/>
      </c>
      <c r="I648" s="336"/>
      <c r="J648" s="351">
        <v>107586</v>
      </c>
      <c r="K648" s="338">
        <f t="shared" si="65"/>
        <v>1251000</v>
      </c>
      <c r="L648" s="352">
        <v>0.24199999999999999</v>
      </c>
      <c r="M648" s="343">
        <v>0.25</v>
      </c>
      <c r="N648" s="343">
        <v>0.36</v>
      </c>
      <c r="O648" s="349">
        <f t="shared" si="72"/>
        <v>0.30555555555555558</v>
      </c>
      <c r="P648" s="343">
        <v>3688.0857538999999</v>
      </c>
      <c r="Q648" s="343">
        <v>7619.2687100000003</v>
      </c>
      <c r="R648" s="343">
        <v>13143.917292</v>
      </c>
      <c r="S648" s="343">
        <v>228.23989499999999</v>
      </c>
      <c r="T648" s="335">
        <v>2016</v>
      </c>
      <c r="U648" s="344">
        <f t="shared" si="75"/>
        <v>0.74772390280805434</v>
      </c>
      <c r="V648" s="344" t="str">
        <f t="shared" si="67"/>
        <v/>
      </c>
      <c r="W648" s="344" t="str">
        <f t="shared" si="68"/>
        <v/>
      </c>
      <c r="X648" s="344">
        <v>0</v>
      </c>
      <c r="Y648" s="345">
        <f t="shared" si="69"/>
        <v>1.4275507959011866</v>
      </c>
      <c r="Z648" s="346">
        <f t="shared" si="70"/>
        <v>2.4626522971722267</v>
      </c>
      <c r="AA648" s="347">
        <f t="shared" si="71"/>
        <v>4.2763164834444228E-2</v>
      </c>
      <c r="AC648" s="332" t="s">
        <v>711</v>
      </c>
      <c r="AD648" s="332">
        <f>'4.1_Electricitat Illes Balears'!G28</f>
        <v>0</v>
      </c>
      <c r="AE648" s="350">
        <f>'4.1_Electricitat Illes Balears'!H28</f>
        <v>0</v>
      </c>
      <c r="AF648" s="333">
        <f t="shared" si="73"/>
        <v>0</v>
      </c>
      <c r="AG648" s="333">
        <f t="shared" si="74"/>
        <v>0</v>
      </c>
      <c r="AM648" t="s">
        <v>15</v>
      </c>
      <c r="AN648" t="s">
        <v>16</v>
      </c>
      <c r="AO648" t="s">
        <v>17</v>
      </c>
      <c r="AP648" t="s">
        <v>649</v>
      </c>
    </row>
    <row r="649" spans="3:43" x14ac:dyDescent="0.25">
      <c r="C649" s="335">
        <v>2017</v>
      </c>
      <c r="D649" s="336">
        <v>474741.370264442</v>
      </c>
      <c r="E649" s="337">
        <f t="shared" si="61"/>
        <v>5520248.4914470008</v>
      </c>
      <c r="F649" s="338" t="str">
        <f t="shared" si="62"/>
        <v/>
      </c>
      <c r="G649" s="337" t="str">
        <f t="shared" si="63"/>
        <v/>
      </c>
      <c r="H649" s="338" t="str">
        <f t="shared" si="64"/>
        <v/>
      </c>
      <c r="I649" s="336"/>
      <c r="J649" s="351">
        <v>101437</v>
      </c>
      <c r="K649" s="338">
        <f t="shared" si="65"/>
        <v>1179500</v>
      </c>
      <c r="L649" s="339">
        <v>0.25700000000000001</v>
      </c>
      <c r="M649" s="343">
        <v>0.31</v>
      </c>
      <c r="N649" s="343">
        <v>0.43</v>
      </c>
      <c r="O649" s="349">
        <f t="shared" si="72"/>
        <v>0.27906976744186041</v>
      </c>
      <c r="P649" s="343">
        <v>3987.5130297616802</v>
      </c>
      <c r="Q649" s="343">
        <v>6945.2381999999998</v>
      </c>
      <c r="R649" s="343">
        <v>11497.258555</v>
      </c>
      <c r="S649" s="343">
        <v>197.005225</v>
      </c>
      <c r="T649" s="335">
        <v>2017</v>
      </c>
      <c r="U649" s="344">
        <f t="shared" si="75"/>
        <v>0.77725568629918529</v>
      </c>
      <c r="V649" s="344" t="str">
        <f t="shared" si="67"/>
        <v/>
      </c>
      <c r="W649" s="344" t="str">
        <f t="shared" si="68"/>
        <v/>
      </c>
      <c r="X649" s="344">
        <v>0</v>
      </c>
      <c r="Y649" s="345">
        <f t="shared" si="69"/>
        <v>1.2581386890030151</v>
      </c>
      <c r="Z649" s="346">
        <f t="shared" si="70"/>
        <v>2.0827429368104897</v>
      </c>
      <c r="AA649" s="347">
        <f t="shared" si="71"/>
        <v>3.5687745815290252E-2</v>
      </c>
      <c r="AC649" s="332" t="s">
        <v>712</v>
      </c>
      <c r="AD649" s="332">
        <f>'4.1_Electricitat Illes Balears'!G29</f>
        <v>0</v>
      </c>
      <c r="AE649" s="350">
        <f>'4.1_Electricitat Illes Balears'!H29</f>
        <v>0</v>
      </c>
      <c r="AF649" s="333">
        <f t="shared" si="73"/>
        <v>0</v>
      </c>
      <c r="AG649" s="333">
        <f t="shared" si="74"/>
        <v>0</v>
      </c>
      <c r="AM649" s="306" t="str">
        <f>IF(ISNUMBER(AM643),AM643,"")</f>
        <v/>
      </c>
      <c r="AN649" s="306" t="str">
        <f>IF(ISNUMBER(AN643),AN643,"")</f>
        <v/>
      </c>
      <c r="AO649" s="306" t="str">
        <f>IF(ISNUMBER(AO643),AO643,"")</f>
        <v/>
      </c>
      <c r="AP649" s="306">
        <f>IF(ISNUMBER(AP643),AP643,"")</f>
        <v>2020</v>
      </c>
    </row>
    <row r="650" spans="3:43" x14ac:dyDescent="0.25">
      <c r="C650" s="335">
        <v>2018</v>
      </c>
      <c r="D650" s="336">
        <v>482836.974203764</v>
      </c>
      <c r="E650" s="337">
        <f t="shared" si="61"/>
        <v>5614383.4209740004</v>
      </c>
      <c r="F650" s="338">
        <f t="shared" si="62"/>
        <v>444271.30620376405</v>
      </c>
      <c r="G650" s="337">
        <f t="shared" si="63"/>
        <v>5165945.4209740004</v>
      </c>
      <c r="H650" s="338">
        <f t="shared" si="64"/>
        <v>38565.667999999998</v>
      </c>
      <c r="I650" s="336">
        <v>448438</v>
      </c>
      <c r="J650" s="351">
        <v>106072.4</v>
      </c>
      <c r="K650" s="338">
        <f t="shared" si="65"/>
        <v>1233400</v>
      </c>
      <c r="L650" s="339">
        <v>0.219</v>
      </c>
      <c r="M650" s="339">
        <v>0.26</v>
      </c>
      <c r="N650" s="339">
        <v>0.41</v>
      </c>
      <c r="O650" s="349">
        <f t="shared" si="72"/>
        <v>0.36585365853658536</v>
      </c>
      <c r="P650" s="343">
        <v>4083.15</v>
      </c>
      <c r="Q650" s="343">
        <f>5966.419091+34.2409</f>
        <v>6000.6599909999995</v>
      </c>
      <c r="R650" s="343">
        <f>9715.579226+254.9437</f>
        <v>9970.5229259999996</v>
      </c>
      <c r="S650" s="343">
        <f>213.384211+7.1601</f>
        <v>220.54431099999999</v>
      </c>
      <c r="T650" s="335">
        <v>2018</v>
      </c>
      <c r="U650" s="344">
        <f t="shared" si="75"/>
        <v>0.77537714715693273</v>
      </c>
      <c r="V650" s="344">
        <f t="shared" si="67"/>
        <v>0.82621081954738695</v>
      </c>
      <c r="W650" s="344">
        <f t="shared" si="68"/>
        <v>0.76021883080788</v>
      </c>
      <c r="X650" s="344">
        <v>0</v>
      </c>
      <c r="Y650" s="345">
        <f t="shared" si="69"/>
        <v>1.0688012451345881</v>
      </c>
      <c r="Z650" s="346">
        <f t="shared" si="70"/>
        <v>1.7758892078429307</v>
      </c>
      <c r="AA650" s="347">
        <f t="shared" si="71"/>
        <v>3.9282018070960198E-2</v>
      </c>
      <c r="AC650" s="332" t="s">
        <v>713</v>
      </c>
      <c r="AD650" s="332">
        <f>'4.1_Electricitat Illes Balears'!G30</f>
        <v>0</v>
      </c>
      <c r="AE650" s="350">
        <f>'4.1_Electricitat Illes Balears'!H30</f>
        <v>0</v>
      </c>
      <c r="AF650" s="333">
        <f t="shared" si="73"/>
        <v>0</v>
      </c>
      <c r="AG650" s="333">
        <f t="shared" si="74"/>
        <v>0</v>
      </c>
      <c r="AL650" s="268" t="s">
        <v>653</v>
      </c>
      <c r="AM650" s="304">
        <f>ROUND('0_Dades generals organització'!K15,2)</f>
        <v>0</v>
      </c>
      <c r="AN650" s="304">
        <f>ROUND('0_Dades generals organització'!K17,2)</f>
        <v>0</v>
      </c>
      <c r="AO650" s="304">
        <f>ROUND('0_Dades generals organització'!K19,2)</f>
        <v>0</v>
      </c>
      <c r="AP650" s="304">
        <f>ROUND('6.1_Resultats Illes Balears'!H19,2)</f>
        <v>0</v>
      </c>
      <c r="AQ650" s="305" t="s">
        <v>651</v>
      </c>
    </row>
    <row r="651" spans="3:43" x14ac:dyDescent="0.25">
      <c r="C651" s="335">
        <v>2019</v>
      </c>
      <c r="D651" s="336">
        <v>486022</v>
      </c>
      <c r="E651" s="337">
        <f t="shared" si="61"/>
        <v>5651418.6046511624</v>
      </c>
      <c r="F651" s="338" t="str">
        <f t="shared" si="62"/>
        <v/>
      </c>
      <c r="G651" s="337" t="str">
        <f t="shared" si="63"/>
        <v/>
      </c>
      <c r="H651" s="338" t="str">
        <f t="shared" si="64"/>
        <v/>
      </c>
      <c r="I651" s="385"/>
      <c r="J651" s="351">
        <v>145761</v>
      </c>
      <c r="K651" s="338">
        <f t="shared" si="65"/>
        <v>1694895.3488372094</v>
      </c>
      <c r="L651" s="339">
        <v>0.16500000000000001</v>
      </c>
      <c r="M651" s="353">
        <v>0.2</v>
      </c>
      <c r="N651" s="353">
        <v>0.31</v>
      </c>
      <c r="O651" s="349">
        <f t="shared" si="72"/>
        <v>0.35483870967741926</v>
      </c>
      <c r="P651" s="343">
        <v>3444.7852450371602</v>
      </c>
      <c r="Q651" s="343">
        <f>5106.85423476919+40.4542</f>
        <v>5147.3084347691902</v>
      </c>
      <c r="R651" s="343">
        <f>5803.817594+257.9096</f>
        <v>6061.7271940000001</v>
      </c>
      <c r="S651" s="343">
        <f>113.95821956783+7.2993</f>
        <v>121.25751956783</v>
      </c>
      <c r="T651" s="335">
        <v>2019</v>
      </c>
      <c r="U651" s="344">
        <f t="shared" si="75"/>
        <v>0.659027978307969</v>
      </c>
      <c r="V651" s="344" t="str">
        <f t="shared" si="67"/>
        <v/>
      </c>
      <c r="W651" s="344" t="str">
        <f t="shared" si="68"/>
        <v/>
      </c>
      <c r="X651" s="344">
        <v>0</v>
      </c>
      <c r="Y651" s="345">
        <f t="shared" si="69"/>
        <v>0.91079935762198072</v>
      </c>
      <c r="Z651" s="346">
        <f t="shared" si="70"/>
        <v>1.0726027601301997</v>
      </c>
      <c r="AA651" s="347">
        <f t="shared" si="71"/>
        <v>2.1456120675264451E-2</v>
      </c>
      <c r="AC651" s="332" t="s">
        <v>714</v>
      </c>
      <c r="AD651" s="332">
        <f>'4.1_Electricitat Illes Balears'!G31</f>
        <v>0</v>
      </c>
      <c r="AE651" s="350">
        <f>'4.1_Electricitat Illes Balears'!H31</f>
        <v>0</v>
      </c>
      <c r="AF651" s="333">
        <f t="shared" si="73"/>
        <v>0</v>
      </c>
      <c r="AG651" s="333">
        <f t="shared" si="74"/>
        <v>0</v>
      </c>
    </row>
    <row r="652" spans="3:43" x14ac:dyDescent="0.25">
      <c r="C652" s="335">
        <v>2020</v>
      </c>
      <c r="D652" s="336">
        <v>389057</v>
      </c>
      <c r="E652" s="337">
        <f t="shared" si="61"/>
        <v>4523918.6046511624</v>
      </c>
      <c r="F652" s="338" t="str">
        <f t="shared" si="62"/>
        <v/>
      </c>
      <c r="G652" s="337" t="str">
        <f t="shared" si="63"/>
        <v/>
      </c>
      <c r="H652" s="338" t="str">
        <f t="shared" si="64"/>
        <v/>
      </c>
      <c r="I652" s="385"/>
      <c r="J652" s="351">
        <v>123126</v>
      </c>
      <c r="K652" s="338">
        <f t="shared" si="65"/>
        <v>1431697.6744186047</v>
      </c>
      <c r="L652" s="339">
        <v>0.123</v>
      </c>
      <c r="M652" s="386"/>
      <c r="N652" s="386"/>
      <c r="O652" s="349" t="e">
        <f t="shared" si="72"/>
        <v>#DIV/0!</v>
      </c>
      <c r="P652" s="343">
        <f>2053.27</f>
        <v>2053.27</v>
      </c>
      <c r="Q652" s="343"/>
      <c r="R652" s="343"/>
      <c r="S652" s="343"/>
      <c r="T652" s="335">
        <v>2020</v>
      </c>
      <c r="U652" s="344">
        <v>0.49299999999999999</v>
      </c>
      <c r="V652" s="344" t="str">
        <f t="shared" si="67"/>
        <v/>
      </c>
      <c r="W652" s="344" t="str">
        <f t="shared" si="68"/>
        <v/>
      </c>
      <c r="X652" s="344">
        <v>0</v>
      </c>
      <c r="Y652" s="345">
        <f t="shared" si="69"/>
        <v>0</v>
      </c>
      <c r="Z652" s="346">
        <f t="shared" si="70"/>
        <v>0</v>
      </c>
      <c r="AA652" s="347">
        <f t="shared" si="71"/>
        <v>0</v>
      </c>
      <c r="AC652" s="332" t="s">
        <v>715</v>
      </c>
      <c r="AD652" s="332">
        <f>'4.1_Electricitat Illes Balears'!G32</f>
        <v>0</v>
      </c>
      <c r="AE652" s="350">
        <f>'4.1_Electricitat Illes Balears'!H32</f>
        <v>0</v>
      </c>
      <c r="AF652" s="333">
        <f t="shared" si="73"/>
        <v>0</v>
      </c>
      <c r="AG652" s="333">
        <f t="shared" si="74"/>
        <v>0</v>
      </c>
      <c r="AL652" t="s">
        <v>654</v>
      </c>
    </row>
    <row r="653" spans="3:43" x14ac:dyDescent="0.25">
      <c r="AC653" s="332" t="s">
        <v>716</v>
      </c>
      <c r="AD653" s="332">
        <f>'4.1_Electricitat Illes Balears'!G33</f>
        <v>0</v>
      </c>
      <c r="AE653" s="350">
        <f>'4.1_Electricitat Illes Balears'!H33</f>
        <v>0</v>
      </c>
      <c r="AF653" s="333">
        <f t="shared" si="73"/>
        <v>0</v>
      </c>
      <c r="AG653" s="333">
        <f t="shared" si="74"/>
        <v>0</v>
      </c>
      <c r="AM653" s="268" t="s">
        <v>988</v>
      </c>
      <c r="AN653" s="268" t="s">
        <v>987</v>
      </c>
    </row>
    <row r="654" spans="3:43" x14ac:dyDescent="0.25">
      <c r="AC654" s="332" t="s">
        <v>717</v>
      </c>
      <c r="AD654" s="332">
        <f>'4.1_Electricitat Illes Balears'!G34</f>
        <v>0</v>
      </c>
      <c r="AE654" s="350">
        <f>'4.1_Electricitat Illes Balears'!H34</f>
        <v>0</v>
      </c>
      <c r="AF654" s="333">
        <f t="shared" si="73"/>
        <v>0</v>
      </c>
      <c r="AG654" s="333">
        <f t="shared" si="74"/>
        <v>0</v>
      </c>
      <c r="AM654" s="354">
        <f>'6.1_Resultats Illes Balears'!H16</f>
        <v>0</v>
      </c>
      <c r="AN654" s="354">
        <f>'6.1_Resultats Illes Balears'!H17</f>
        <v>0</v>
      </c>
    </row>
    <row r="655" spans="3:43" x14ac:dyDescent="0.25">
      <c r="AC655" s="332" t="s">
        <v>718</v>
      </c>
      <c r="AD655" s="332">
        <f>'4.1_Electricitat Illes Balears'!G35</f>
        <v>0</v>
      </c>
      <c r="AE655" s="350">
        <f>'4.1_Electricitat Illes Balears'!H35</f>
        <v>0</v>
      </c>
      <c r="AF655" s="333">
        <f t="shared" si="73"/>
        <v>0</v>
      </c>
      <c r="AG655" s="333">
        <f t="shared" si="74"/>
        <v>0</v>
      </c>
    </row>
    <row r="656" spans="3:43" ht="18" x14ac:dyDescent="0.35">
      <c r="C656" t="s">
        <v>914</v>
      </c>
      <c r="D656">
        <v>1</v>
      </c>
      <c r="AC656" s="332" t="s">
        <v>719</v>
      </c>
      <c r="AD656" s="332">
        <f>'4.1_Electricitat Illes Balears'!G36</f>
        <v>0</v>
      </c>
      <c r="AE656" s="350">
        <f>'4.1_Electricitat Illes Balears'!H36</f>
        <v>0</v>
      </c>
      <c r="AF656" s="333">
        <f t="shared" si="73"/>
        <v>0</v>
      </c>
      <c r="AG656" s="333">
        <f t="shared" si="74"/>
        <v>0</v>
      </c>
      <c r="AL656" t="s">
        <v>656</v>
      </c>
    </row>
    <row r="657" spans="2:44" ht="18" x14ac:dyDescent="0.35">
      <c r="C657" t="s">
        <v>915</v>
      </c>
      <c r="D657">
        <v>25</v>
      </c>
      <c r="F657" t="s">
        <v>20</v>
      </c>
      <c r="AC657" s="332" t="s">
        <v>720</v>
      </c>
      <c r="AD657" s="332">
        <f>'4.1_Electricitat Illes Balears'!G37</f>
        <v>0</v>
      </c>
      <c r="AE657" s="350">
        <f>'4.1_Electricitat Illes Balears'!H37</f>
        <v>0</v>
      </c>
      <c r="AF657" s="333">
        <f t="shared" si="73"/>
        <v>0</v>
      </c>
      <c r="AG657" s="333">
        <f t="shared" si="74"/>
        <v>0</v>
      </c>
      <c r="AL657" s="268" t="s">
        <v>989</v>
      </c>
      <c r="AM657" s="268" t="s">
        <v>990</v>
      </c>
      <c r="AN657" s="268" t="s">
        <v>992</v>
      </c>
      <c r="AO657" s="268" t="s">
        <v>979</v>
      </c>
    </row>
    <row r="658" spans="2:44" ht="18" x14ac:dyDescent="0.35">
      <c r="C658" t="s">
        <v>916</v>
      </c>
      <c r="D658">
        <v>298</v>
      </c>
      <c r="F658" t="s">
        <v>21</v>
      </c>
      <c r="AC658" s="332" t="s">
        <v>721</v>
      </c>
      <c r="AD658" s="332">
        <f>'4.1_Electricitat Illes Balears'!G38</f>
        <v>0</v>
      </c>
      <c r="AE658" s="350">
        <f>'4.1_Electricitat Illes Balears'!H38</f>
        <v>0</v>
      </c>
      <c r="AF658" s="333">
        <f t="shared" si="73"/>
        <v>0</v>
      </c>
      <c r="AG658" s="333">
        <f t="shared" si="74"/>
        <v>0</v>
      </c>
      <c r="AL658" s="309" t="e">
        <f>AL659/SUM(AL659:AO659)</f>
        <v>#DIV/0!</v>
      </c>
      <c r="AM658" s="309" t="e">
        <f>AM659/SUM(AL659:AO659)</f>
        <v>#DIV/0!</v>
      </c>
      <c r="AN658" s="309" t="e">
        <f>AN659/SUM(AL659:AO659)</f>
        <v>#DIV/0!</v>
      </c>
      <c r="AO658" s="309" t="e">
        <f>AO659/SUM(AL659:AO659)</f>
        <v>#DIV/0!</v>
      </c>
    </row>
    <row r="659" spans="2:44" x14ac:dyDescent="0.25">
      <c r="AC659" s="332" t="s">
        <v>722</v>
      </c>
      <c r="AD659" s="332">
        <f>'4.1_Electricitat Illes Balears'!G39</f>
        <v>0</v>
      </c>
      <c r="AE659" s="350">
        <f>'4.1_Electricitat Illes Balears'!H39</f>
        <v>0</v>
      </c>
      <c r="AF659" s="333">
        <f t="shared" si="73"/>
        <v>0</v>
      </c>
      <c r="AG659" s="333">
        <f t="shared" si="74"/>
        <v>0</v>
      </c>
      <c r="AL659" s="304">
        <f>'6.1_Resultats Illes Balears'!H26</f>
        <v>0</v>
      </c>
      <c r="AM659" s="304">
        <f>'6.1_Resultats Illes Balears'!H25</f>
        <v>0</v>
      </c>
      <c r="AN659" s="304">
        <f>'6.1_Resultats Illes Balears'!H24</f>
        <v>0</v>
      </c>
      <c r="AO659" s="304">
        <f>'6.1_Resultats Illes Balears'!H23</f>
        <v>0</v>
      </c>
    </row>
    <row r="660" spans="2:44" x14ac:dyDescent="0.25">
      <c r="C660" s="397"/>
      <c r="D660" s="397"/>
      <c r="E660" s="397"/>
      <c r="F660" s="397"/>
      <c r="G660" s="397"/>
      <c r="H660" s="397"/>
      <c r="I660" s="397"/>
      <c r="J660" s="397"/>
      <c r="K660" s="397"/>
      <c r="L660" s="397"/>
      <c r="M660" s="397"/>
      <c r="N660" s="397"/>
      <c r="O660" s="397"/>
      <c r="P660" s="397"/>
      <c r="Q660" s="397"/>
      <c r="R660" s="397"/>
      <c r="S660" s="397"/>
      <c r="T660" s="397"/>
      <c r="U660" s="397"/>
      <c r="V660" s="397"/>
      <c r="W660" s="397"/>
      <c r="X660" s="397"/>
      <c r="Y660" s="397"/>
      <c r="Z660" s="397"/>
      <c r="AA660" s="397"/>
      <c r="AC660" s="332" t="s">
        <v>723</v>
      </c>
      <c r="AD660" s="332">
        <f>'4.1_Electricitat Illes Balears'!G40</f>
        <v>0</v>
      </c>
      <c r="AE660" s="350">
        <f>'4.1_Electricitat Illes Balears'!H40</f>
        <v>0</v>
      </c>
      <c r="AF660" s="333">
        <f t="shared" si="73"/>
        <v>0</v>
      </c>
      <c r="AG660" s="333">
        <f t="shared" si="74"/>
        <v>0</v>
      </c>
    </row>
    <row r="661" spans="2:44" x14ac:dyDescent="0.25">
      <c r="C661" s="397" t="s">
        <v>849</v>
      </c>
      <c r="D661" s="397"/>
      <c r="E661" s="397"/>
      <c r="F661" s="397"/>
      <c r="G661" s="397"/>
      <c r="H661" s="397"/>
      <c r="I661" s="397"/>
      <c r="J661" s="397"/>
      <c r="K661" s="397"/>
      <c r="L661" s="397"/>
      <c r="M661" s="397"/>
      <c r="N661" s="397"/>
      <c r="O661" s="397"/>
      <c r="P661" s="397"/>
      <c r="Q661" s="397"/>
      <c r="R661" s="397"/>
      <c r="S661" s="397"/>
      <c r="T661" s="397"/>
      <c r="U661" s="397"/>
      <c r="V661" s="397"/>
      <c r="W661" s="397"/>
      <c r="X661" s="397"/>
      <c r="Y661" s="397"/>
      <c r="Z661" s="397"/>
      <c r="AA661" s="397"/>
      <c r="AC661" s="332" t="s">
        <v>724</v>
      </c>
      <c r="AD661" s="332">
        <f>'4.1_Electricitat Illes Balears'!G41</f>
        <v>0</v>
      </c>
      <c r="AE661" s="350">
        <f>'4.1_Electricitat Illes Balears'!H41</f>
        <v>0</v>
      </c>
      <c r="AF661" s="333">
        <f t="shared" si="73"/>
        <v>0</v>
      </c>
      <c r="AG661" s="333">
        <f t="shared" si="74"/>
        <v>0</v>
      </c>
      <c r="AM661" s="268" t="str">
        <f>AM643</f>
        <v/>
      </c>
      <c r="AN661" s="268" t="str">
        <f>AN643</f>
        <v/>
      </c>
      <c r="AO661" s="268" t="str">
        <f>AO643</f>
        <v/>
      </c>
      <c r="AP661" s="268">
        <f>AP643</f>
        <v>2020</v>
      </c>
    </row>
    <row r="662" spans="2:44" x14ac:dyDescent="0.25">
      <c r="B662">
        <v>1</v>
      </c>
      <c r="C662" s="397" t="str">
        <f>IF('0_Dades generals organització'!H53="","",'0_Dades generals organització'!H53)</f>
        <v/>
      </c>
      <c r="D662" s="397" t="str">
        <f>IF(C662="","",IF('0_Dades generals organització'!J53="no","",Dades!C662))</f>
        <v/>
      </c>
      <c r="E662" s="397" t="str">
        <f>IFERROR(INDEX($D$662:$D$911,MATCH(0,INDEX(COUNTIF($E$661:E661,$D$662:$D$911),),)),"")</f>
        <v/>
      </c>
      <c r="F662" s="397"/>
      <c r="G662" s="397"/>
      <c r="H662" s="397"/>
      <c r="I662" s="397"/>
      <c r="J662" s="397"/>
      <c r="K662" s="397"/>
      <c r="L662" s="397"/>
      <c r="M662" s="397"/>
      <c r="N662" s="397"/>
      <c r="O662" s="397"/>
      <c r="P662" s="397"/>
      <c r="Q662" s="397"/>
      <c r="R662" s="397"/>
      <c r="S662" s="397"/>
      <c r="T662" s="397"/>
      <c r="U662" s="397"/>
      <c r="V662" s="397"/>
      <c r="W662" s="397"/>
      <c r="X662" s="397"/>
      <c r="Y662" s="397"/>
      <c r="Z662" s="397"/>
      <c r="AA662" s="397"/>
      <c r="AC662" s="332" t="s">
        <v>725</v>
      </c>
      <c r="AD662" s="332">
        <f>'4.1_Electricitat Illes Balears'!G42</f>
        <v>0</v>
      </c>
      <c r="AE662" s="350">
        <f>'4.1_Electricitat Illes Balears'!H42</f>
        <v>0</v>
      </c>
      <c r="AF662" s="333">
        <f t="shared" si="73"/>
        <v>0</v>
      </c>
      <c r="AG662" s="333">
        <f t="shared" si="74"/>
        <v>0</v>
      </c>
      <c r="AL662" s="268" t="s">
        <v>653</v>
      </c>
      <c r="AM662" s="310">
        <f>AM650</f>
        <v>0</v>
      </c>
      <c r="AN662" s="310">
        <f>AN650</f>
        <v>0</v>
      </c>
      <c r="AO662" s="310">
        <f>AO650</f>
        <v>0</v>
      </c>
      <c r="AP662" s="310">
        <f>AP650</f>
        <v>0</v>
      </c>
    </row>
    <row r="663" spans="2:44" x14ac:dyDescent="0.25">
      <c r="B663">
        <v>2</v>
      </c>
      <c r="C663" s="397" t="str">
        <f>IF('0_Dades generals organització'!H54="","",'0_Dades generals organització'!H54)</f>
        <v/>
      </c>
      <c r="D663" s="397" t="str">
        <f>IF(C663="","",IF('0_Dades generals organització'!J54="no","",Dades!C663))</f>
        <v/>
      </c>
      <c r="E663" s="397" t="str">
        <f>IFERROR(INDEX($D$662:$D$911,MATCH(0,INDEX(COUNTIF($E$661:E662,$D$662:$D$911),),)),"")</f>
        <v/>
      </c>
      <c r="F663" s="397"/>
      <c r="G663" s="397"/>
      <c r="H663" s="397"/>
      <c r="I663" s="397"/>
      <c r="J663" s="397"/>
      <c r="K663" s="397"/>
      <c r="L663" s="397"/>
      <c r="M663" s="397"/>
      <c r="N663" s="397"/>
      <c r="O663" s="397"/>
      <c r="P663" s="397"/>
      <c r="Q663" s="397"/>
      <c r="R663" s="397"/>
      <c r="S663" s="397"/>
      <c r="T663" s="397"/>
      <c r="U663" s="397"/>
      <c r="V663" s="397"/>
      <c r="W663" s="397"/>
      <c r="X663" s="397"/>
      <c r="Y663" s="397"/>
      <c r="Z663" s="397"/>
      <c r="AA663" s="397"/>
      <c r="AL663" s="268" t="s">
        <v>657</v>
      </c>
      <c r="AM663" s="311" t="e">
        <f>ROUND((AM662/AM644),4)</f>
        <v>#DIV/0!</v>
      </c>
      <c r="AN663" s="311" t="e">
        <f>ROUND((AN662/AN644),4)</f>
        <v>#DIV/0!</v>
      </c>
      <c r="AO663" s="311" t="e">
        <f>ROUND((AO662/AO644),4)</f>
        <v>#DIV/0!</v>
      </c>
      <c r="AP663" s="311" t="e">
        <f>ROUND((AP662/AP644),4)</f>
        <v>#DIV/0!</v>
      </c>
      <c r="AQ663" s="305" t="s">
        <v>658</v>
      </c>
    </row>
    <row r="664" spans="2:44" x14ac:dyDescent="0.25">
      <c r="B664">
        <v>3</v>
      </c>
      <c r="C664" s="397" t="str">
        <f>IF('0_Dades generals organització'!H55="","",'0_Dades generals organització'!H55)</f>
        <v/>
      </c>
      <c r="D664" s="397" t="str">
        <f>IF(C664="","",IF('0_Dades generals organització'!J55="no","",Dades!C664))</f>
        <v/>
      </c>
      <c r="E664" s="397" t="str">
        <f>IFERROR(INDEX($D$662:$D$911,MATCH(0,INDEX(COUNTIF($E$661:E663,$D$662:$D$911),),)),"")</f>
        <v/>
      </c>
      <c r="F664" s="398"/>
      <c r="G664" s="398"/>
      <c r="H664" s="397"/>
      <c r="I664" s="397"/>
      <c r="J664" s="397"/>
      <c r="K664" s="397"/>
      <c r="L664" s="397"/>
      <c r="M664" s="397"/>
      <c r="N664" s="397"/>
      <c r="O664" s="397"/>
      <c r="P664" s="397"/>
      <c r="Q664" s="397"/>
      <c r="R664" s="397"/>
      <c r="S664" s="397"/>
      <c r="T664" s="397"/>
      <c r="U664" s="397"/>
      <c r="V664" s="397"/>
      <c r="W664" s="397"/>
      <c r="X664" s="397"/>
      <c r="Y664" s="397"/>
      <c r="Z664" s="397"/>
      <c r="AA664" s="397"/>
      <c r="AC664" s="332" t="s">
        <v>726</v>
      </c>
      <c r="AD664" s="332">
        <f>'4.1_Electricitat Illes Balears'!H51</f>
        <v>0</v>
      </c>
      <c r="AE664" s="350">
        <f>'4.1_Electricitat Illes Balears'!I51</f>
        <v>0</v>
      </c>
      <c r="AF664" s="333">
        <f t="shared" ref="AF664:AF683" si="76">IF(AD664=$AC$636,$AD$636,IF(AD664=$AC$637,$AD$637,IF(AD664=$AC$638,$AD$638,0)))</f>
        <v>0</v>
      </c>
      <c r="AG664" s="333">
        <f t="shared" ref="AG664:AG683" si="77">AE664*AF664</f>
        <v>0</v>
      </c>
      <c r="AH664" s="332">
        <f>SUM(AG664:AG683)</f>
        <v>0</v>
      </c>
      <c r="AL664" s="268" t="s">
        <v>659</v>
      </c>
      <c r="AM664" s="312" t="e">
        <f>ROUND((AM662/AM645),4)</f>
        <v>#DIV/0!</v>
      </c>
      <c r="AN664" s="312" t="e">
        <f>ROUND((AN662/AN645),4)</f>
        <v>#DIV/0!</v>
      </c>
      <c r="AO664" s="312" t="e">
        <f>ROUND((AO662/AO645),4)</f>
        <v>#DIV/0!</v>
      </c>
      <c r="AP664" s="312" t="e">
        <f>ROUND((AP662/AP645),4)</f>
        <v>#DIV/0!</v>
      </c>
      <c r="AQ664" s="305" t="s">
        <v>658</v>
      </c>
    </row>
    <row r="665" spans="2:44" x14ac:dyDescent="0.25">
      <c r="B665">
        <v>4</v>
      </c>
      <c r="C665" s="397" t="str">
        <f>IF('0_Dades generals organització'!H56="","",'0_Dades generals organització'!H56)</f>
        <v/>
      </c>
      <c r="D665" s="397" t="str">
        <f>IF(C665="","",IF('0_Dades generals organització'!J56="no","",Dades!C665))</f>
        <v/>
      </c>
      <c r="E665" s="397" t="str">
        <f>IFERROR(INDEX($D$662:$D$911,MATCH(0,INDEX(COUNTIF($E$661:E664,$D$662:$D$911),),)),"")</f>
        <v/>
      </c>
      <c r="F665" s="398"/>
      <c r="G665" s="398"/>
      <c r="H665" s="397"/>
      <c r="I665" s="397"/>
      <c r="J665" s="397"/>
      <c r="K665" s="397"/>
      <c r="L665" s="397"/>
      <c r="M665" s="397"/>
      <c r="N665" s="397"/>
      <c r="O665" s="397"/>
      <c r="P665" s="397"/>
      <c r="Q665" s="397"/>
      <c r="R665" s="397"/>
      <c r="S665" s="397"/>
      <c r="T665" s="397"/>
      <c r="U665" s="397"/>
      <c r="V665" s="397"/>
      <c r="W665" s="397"/>
      <c r="X665" s="397"/>
      <c r="Y665" s="397"/>
      <c r="Z665" s="397"/>
      <c r="AA665" s="397"/>
      <c r="AC665" s="332" t="s">
        <v>727</v>
      </c>
      <c r="AD665" s="332">
        <f>'4.1_Electricitat Illes Balears'!H52</f>
        <v>0</v>
      </c>
      <c r="AE665" s="350">
        <f>'4.1_Electricitat Illes Balears'!I52</f>
        <v>0</v>
      </c>
      <c r="AF665" s="333">
        <f t="shared" si="76"/>
        <v>0</v>
      </c>
      <c r="AG665" s="333">
        <f t="shared" si="77"/>
        <v>0</v>
      </c>
      <c r="AL665" s="268" t="s">
        <v>660</v>
      </c>
      <c r="AM665" s="312" t="e">
        <f>ROUND((AM662/AM646),4)</f>
        <v>#DIV/0!</v>
      </c>
      <c r="AN665" s="312" t="e">
        <f>ROUND((AN662/AN646),4)</f>
        <v>#DIV/0!</v>
      </c>
      <c r="AO665" s="312" t="e">
        <f>ROUND((AO662/AO646),4)</f>
        <v>#DIV/0!</v>
      </c>
      <c r="AP665" s="312" t="e">
        <f>ROUND((AP662/AP646),4)</f>
        <v>#DIV/0!</v>
      </c>
      <c r="AQ665" s="305" t="s">
        <v>658</v>
      </c>
    </row>
    <row r="666" spans="2:44" x14ac:dyDescent="0.25">
      <c r="B666">
        <v>5</v>
      </c>
      <c r="C666" s="397" t="str">
        <f>IF('0_Dades generals organització'!H57="","",'0_Dades generals organització'!H57)</f>
        <v/>
      </c>
      <c r="D666" s="397" t="str">
        <f>IF(C666="","",IF('0_Dades generals organització'!J57="no","",Dades!C666))</f>
        <v/>
      </c>
      <c r="E666" s="397" t="str">
        <f>IFERROR(INDEX($D$662:$D$911,MATCH(0,INDEX(COUNTIF($E$661:E665,$D$662:$D$911),),)),"")</f>
        <v/>
      </c>
      <c r="F666" s="397"/>
      <c r="G666" s="397"/>
      <c r="H666" s="397"/>
      <c r="I666" s="397"/>
      <c r="J666" s="397"/>
      <c r="K666" s="397"/>
      <c r="L666" s="397"/>
      <c r="M666" s="397"/>
      <c r="N666" s="397"/>
      <c r="O666" s="397"/>
      <c r="P666" s="397"/>
      <c r="Q666" s="397"/>
      <c r="R666" s="397"/>
      <c r="S666" s="397"/>
      <c r="T666" s="397"/>
      <c r="U666" s="397"/>
      <c r="V666" s="397"/>
      <c r="W666" s="397"/>
      <c r="X666" s="397"/>
      <c r="Y666" s="397"/>
      <c r="Z666" s="397"/>
      <c r="AA666" s="397"/>
      <c r="AC666" s="332" t="s">
        <v>728</v>
      </c>
      <c r="AD666" s="332">
        <f>'4.1_Electricitat Illes Balears'!H53</f>
        <v>0</v>
      </c>
      <c r="AE666" s="350">
        <f>'4.1_Electricitat Illes Balears'!I53</f>
        <v>0</v>
      </c>
      <c r="AF666" s="333">
        <f t="shared" si="76"/>
        <v>0</v>
      </c>
      <c r="AG666" s="333">
        <f t="shared" si="77"/>
        <v>0</v>
      </c>
    </row>
    <row r="667" spans="2:44" x14ac:dyDescent="0.25">
      <c r="B667">
        <v>6</v>
      </c>
      <c r="C667" s="397" t="str">
        <f>IF('0_Dades generals organització'!H58="","",'0_Dades generals organització'!H58)</f>
        <v/>
      </c>
      <c r="D667" s="397" t="str">
        <f>IF(C667="","",IF('0_Dades generals organització'!J58="no","",Dades!C667))</f>
        <v/>
      </c>
      <c r="E667" s="397" t="str">
        <f>IFERROR(INDEX($D$662:$D$911,MATCH(0,INDEX(COUNTIF($E$661:E666,$D$662:$D$911),),)),"")</f>
        <v/>
      </c>
      <c r="F667" s="397"/>
      <c r="G667" s="397"/>
      <c r="H667" s="397"/>
      <c r="I667" s="397"/>
      <c r="J667" s="397"/>
      <c r="K667" s="397"/>
      <c r="L667" s="397"/>
      <c r="M667" s="397"/>
      <c r="N667" s="397"/>
      <c r="O667" s="397"/>
      <c r="P667" s="397"/>
      <c r="Q667" s="397"/>
      <c r="R667" s="397"/>
      <c r="S667" s="397"/>
      <c r="T667" s="397"/>
      <c r="U667" s="397"/>
      <c r="V667" s="397"/>
      <c r="W667" s="397"/>
      <c r="X667" s="397"/>
      <c r="Y667" s="397"/>
      <c r="Z667" s="397"/>
      <c r="AA667" s="397"/>
      <c r="AC667" s="332" t="s">
        <v>729</v>
      </c>
      <c r="AD667" s="332">
        <f>'4.1_Electricitat Illes Balears'!H54</f>
        <v>0</v>
      </c>
      <c r="AE667" s="350">
        <f>'4.1_Electricitat Illes Balears'!I54</f>
        <v>0</v>
      </c>
      <c r="AF667" s="333">
        <f t="shared" si="76"/>
        <v>0</v>
      </c>
      <c r="AG667" s="333">
        <f t="shared" si="77"/>
        <v>0</v>
      </c>
      <c r="AL667" t="s">
        <v>661</v>
      </c>
    </row>
    <row r="668" spans="2:44" x14ac:dyDescent="0.25">
      <c r="B668">
        <v>7</v>
      </c>
      <c r="C668" s="397" t="str">
        <f>IF('0_Dades generals organització'!H59="","",'0_Dades generals organització'!H59)</f>
        <v/>
      </c>
      <c r="D668" s="397" t="str">
        <f>IF(C668="","",IF('0_Dades generals organització'!J59="no","",Dades!C668))</f>
        <v/>
      </c>
      <c r="E668" s="397" t="str">
        <f>IFERROR(INDEX($D$662:$D$911,MATCH(0,INDEX(COUNTIF($E$661:E667,$D$662:$D$911),),)),"")</f>
        <v/>
      </c>
      <c r="F668" s="397"/>
      <c r="G668" s="397"/>
      <c r="H668" s="397"/>
      <c r="I668" s="397"/>
      <c r="J668" s="397"/>
      <c r="K668" s="397"/>
      <c r="L668" s="397"/>
      <c r="M668" s="397"/>
      <c r="N668" s="397"/>
      <c r="O668" s="397"/>
      <c r="P668" s="397"/>
      <c r="Q668" s="397"/>
      <c r="R668" s="397"/>
      <c r="S668" s="397"/>
      <c r="T668" s="397"/>
      <c r="U668" s="397"/>
      <c r="V668" s="397"/>
      <c r="W668" s="397"/>
      <c r="X668" s="397"/>
      <c r="Y668" s="397"/>
      <c r="Z668" s="397"/>
      <c r="AA668" s="397"/>
      <c r="AC668" s="332" t="s">
        <v>730</v>
      </c>
      <c r="AD668" s="332">
        <f>'4.1_Electricitat Illes Balears'!H55</f>
        <v>0</v>
      </c>
      <c r="AE668" s="350">
        <f>'4.1_Electricitat Illes Balears'!I55</f>
        <v>0</v>
      </c>
      <c r="AF668" s="333">
        <f t="shared" si="76"/>
        <v>0</v>
      </c>
      <c r="AG668" s="333">
        <f t="shared" si="77"/>
        <v>0</v>
      </c>
      <c r="AL668" s="268" t="s">
        <v>662</v>
      </c>
      <c r="AM668" s="311">
        <v>0.42880000000000001</v>
      </c>
      <c r="AO668" t="str">
        <f>IF(ISNUMBER(AM671),"Se cumple la condición de reducción","No se cumple la condición de reducción")</f>
        <v>No se cumple la condición de reducción</v>
      </c>
    </row>
    <row r="669" spans="2:44" x14ac:dyDescent="0.25">
      <c r="B669">
        <v>8</v>
      </c>
      <c r="C669" s="397" t="str">
        <f>IF('0_Dades generals organització'!H60="","",'0_Dades generals organització'!H60)</f>
        <v/>
      </c>
      <c r="D669" s="397" t="str">
        <f>IF(C669="","",IF('0_Dades generals organització'!J60="no","",Dades!C669))</f>
        <v/>
      </c>
      <c r="E669" s="397" t="str">
        <f>IFERROR(INDEX($D$662:$D$911,MATCH(0,INDEX(COUNTIF($E$661:E668,$D$662:$D$911),),)),"")</f>
        <v/>
      </c>
      <c r="F669" s="397"/>
      <c r="G669" s="397"/>
      <c r="H669" s="397"/>
      <c r="I669" s="397"/>
      <c r="J669" s="397"/>
      <c r="K669" s="397"/>
      <c r="L669" s="397"/>
      <c r="M669" s="397"/>
      <c r="N669" s="397"/>
      <c r="O669" s="397"/>
      <c r="P669" s="397"/>
      <c r="Q669" s="397"/>
      <c r="R669" s="397"/>
      <c r="S669" s="397"/>
      <c r="T669" s="397"/>
      <c r="U669" s="397"/>
      <c r="V669" s="397"/>
      <c r="W669" s="397"/>
      <c r="X669" s="397"/>
      <c r="Y669" s="397"/>
      <c r="Z669" s="397"/>
      <c r="AA669" s="397"/>
      <c r="AC669" s="332" t="s">
        <v>731</v>
      </c>
      <c r="AD669" s="332">
        <f>'4.1_Electricitat Illes Balears'!H56</f>
        <v>0</v>
      </c>
      <c r="AE669" s="350">
        <f>'4.1_Electricitat Illes Balears'!I56</f>
        <v>0</v>
      </c>
      <c r="AF669" s="333">
        <f t="shared" si="76"/>
        <v>0</v>
      </c>
      <c r="AG669" s="333">
        <f t="shared" si="77"/>
        <v>0</v>
      </c>
      <c r="AL669" s="268" t="s">
        <v>663</v>
      </c>
      <c r="AM669" s="268">
        <v>0.79979999999999996</v>
      </c>
      <c r="AO669" t="str">
        <f>IF(ISNUMBER(AM671),"Reducción de","Incremento de")</f>
        <v>Incremento de</v>
      </c>
      <c r="AQ669" s="313">
        <f>IF(ISNUMBER(AM670),AM670,AM671)</f>
        <v>0.86519999999999997</v>
      </c>
      <c r="AR669" s="305" t="s">
        <v>658</v>
      </c>
    </row>
    <row r="670" spans="2:44" x14ac:dyDescent="0.25">
      <c r="B670">
        <v>9</v>
      </c>
      <c r="C670" s="397" t="str">
        <f>IF('0_Dades generals organització'!H61="","",'0_Dades generals organització'!H61)</f>
        <v/>
      </c>
      <c r="D670" s="397" t="str">
        <f>IF(C670="","",IF('0_Dades generals organització'!J61="no","",Dades!C670))</f>
        <v/>
      </c>
      <c r="E670" s="397" t="str">
        <f>IFERROR(INDEX($D$662:$D$911,MATCH(0,INDEX(COUNTIF($E$661:E669,$D$662:$D$911),),)),"")</f>
        <v/>
      </c>
      <c r="F670" s="397"/>
      <c r="G670" s="397"/>
      <c r="H670" s="397"/>
      <c r="I670" s="397"/>
      <c r="J670" s="397"/>
      <c r="K670" s="397"/>
      <c r="L670" s="397"/>
      <c r="M670" s="397"/>
      <c r="N670" s="397"/>
      <c r="O670" s="397"/>
      <c r="P670" s="397"/>
      <c r="Q670" s="397"/>
      <c r="R670" s="397"/>
      <c r="S670" s="397"/>
      <c r="T670" s="397"/>
      <c r="U670" s="397"/>
      <c r="V670" s="397"/>
      <c r="W670" s="397"/>
      <c r="X670" s="397"/>
      <c r="Y670" s="397"/>
      <c r="Z670" s="397"/>
      <c r="AA670" s="397"/>
      <c r="AC670" s="332" t="s">
        <v>732</v>
      </c>
      <c r="AD670" s="332">
        <f>'4.1_Electricitat Illes Balears'!H57</f>
        <v>0</v>
      </c>
      <c r="AE670" s="350">
        <f>'4.1_Electricitat Illes Balears'!I57</f>
        <v>0</v>
      </c>
      <c r="AF670" s="333">
        <f t="shared" si="76"/>
        <v>0</v>
      </c>
      <c r="AG670" s="333">
        <f t="shared" si="77"/>
        <v>0</v>
      </c>
      <c r="AL670" s="314" t="s">
        <v>664</v>
      </c>
      <c r="AM670" s="315">
        <f>IF(AM669-AM668&gt;0,ROUND((AM669-AM668)/AM668,4),"")</f>
        <v>0.86519999999999997</v>
      </c>
      <c r="AO670" s="316">
        <f>AM669-AM668</f>
        <v>0.37099999999999994</v>
      </c>
      <c r="AR670" s="305" t="s">
        <v>658</v>
      </c>
    </row>
    <row r="671" spans="2:44" x14ac:dyDescent="0.25">
      <c r="B671">
        <v>10</v>
      </c>
      <c r="C671" s="397" t="str">
        <f>IF('0_Dades generals organització'!H62="","",'0_Dades generals organització'!H62)</f>
        <v/>
      </c>
      <c r="D671" s="397" t="str">
        <f>IF(C671="","",IF('0_Dades generals organització'!J62="no","",Dades!C671))</f>
        <v/>
      </c>
      <c r="E671" s="397" t="str">
        <f>IFERROR(INDEX($D$662:$D$911,MATCH(0,INDEX(COUNTIF($E$661:E670,$D$662:$D$911),),)),"")</f>
        <v/>
      </c>
      <c r="F671" s="397"/>
      <c r="G671" s="397"/>
      <c r="H671" s="397"/>
      <c r="I671" s="397"/>
      <c r="J671" s="397"/>
      <c r="K671" s="397"/>
      <c r="L671" s="397"/>
      <c r="M671" s="397"/>
      <c r="N671" s="397"/>
      <c r="O671" s="397"/>
      <c r="P671" s="397"/>
      <c r="Q671" s="397"/>
      <c r="R671" s="397"/>
      <c r="S671" s="397"/>
      <c r="T671" s="397"/>
      <c r="U671" s="397"/>
      <c r="V671" s="397"/>
      <c r="W671" s="397"/>
      <c r="X671" s="397"/>
      <c r="Y671" s="397"/>
      <c r="Z671" s="397"/>
      <c r="AA671" s="397"/>
      <c r="AC671" s="332" t="s">
        <v>733</v>
      </c>
      <c r="AD671" s="332">
        <f>'4.1_Electricitat Illes Balears'!H58</f>
        <v>0</v>
      </c>
      <c r="AE671" s="350">
        <f>'4.1_Electricitat Illes Balears'!I58</f>
        <v>0</v>
      </c>
      <c r="AF671" s="333">
        <f t="shared" si="76"/>
        <v>0</v>
      </c>
      <c r="AG671" s="333">
        <f t="shared" si="77"/>
        <v>0</v>
      </c>
      <c r="AL671" s="317" t="s">
        <v>665</v>
      </c>
      <c r="AM671" s="318" t="str">
        <f>IF(AM668-AM669&gt;0,ROUND((AM668-AM669)/AM668,4),"")</f>
        <v/>
      </c>
    </row>
    <row r="672" spans="2:44" x14ac:dyDescent="0.25">
      <c r="B672">
        <v>11</v>
      </c>
      <c r="C672" s="397" t="str">
        <f>IF('0_Dades generals organització'!H63="","",'0_Dades generals organització'!H63)</f>
        <v/>
      </c>
      <c r="D672" s="397" t="str">
        <f>IF(C672="","",IF('0_Dades generals organització'!J63="no","",Dades!C672))</f>
        <v/>
      </c>
      <c r="E672" s="397" t="str">
        <f>IFERROR(INDEX($D$662:$D$911,MATCH(0,INDEX(COUNTIF($E$661:E671,$D$662:$D$911),),)),"")</f>
        <v/>
      </c>
      <c r="F672" s="397"/>
      <c r="G672" s="397"/>
      <c r="H672" s="397"/>
      <c r="I672" s="397"/>
      <c r="J672" s="397"/>
      <c r="K672" s="397"/>
      <c r="L672" s="397"/>
      <c r="M672" s="397"/>
      <c r="N672" s="397"/>
      <c r="O672" s="397"/>
      <c r="P672" s="397"/>
      <c r="Q672" s="397"/>
      <c r="R672" s="397"/>
      <c r="S672" s="397"/>
      <c r="T672" s="397"/>
      <c r="U672" s="397"/>
      <c r="V672" s="397"/>
      <c r="W672" s="397"/>
      <c r="X672" s="397"/>
      <c r="Y672" s="397"/>
      <c r="Z672" s="397"/>
      <c r="AA672" s="397"/>
      <c r="AC672" s="332" t="s">
        <v>734</v>
      </c>
      <c r="AD672" s="332">
        <f>'4.1_Electricitat Illes Balears'!H59</f>
        <v>0</v>
      </c>
      <c r="AE672" s="350">
        <f>'4.1_Electricitat Illes Balears'!I59</f>
        <v>0</v>
      </c>
      <c r="AF672" s="333">
        <f t="shared" si="76"/>
        <v>0</v>
      </c>
      <c r="AG672" s="333">
        <f t="shared" si="77"/>
        <v>0</v>
      </c>
    </row>
    <row r="673" spans="2:34" x14ac:dyDescent="0.25">
      <c r="B673">
        <v>12</v>
      </c>
      <c r="C673" s="397" t="str">
        <f>IF('0_Dades generals organització'!H64="","",'0_Dades generals organització'!H64)</f>
        <v/>
      </c>
      <c r="D673" s="397" t="str">
        <f>IF(C673="","",IF('0_Dades generals organització'!J64="no","",Dades!C673))</f>
        <v/>
      </c>
      <c r="E673" s="397" t="str">
        <f>IFERROR(INDEX($D$662:$D$911,MATCH(0,INDEX(COUNTIF($E$661:E672,$D$662:$D$911),),)),"")</f>
        <v/>
      </c>
      <c r="F673" s="397"/>
      <c r="G673" s="397"/>
      <c r="H673" s="397"/>
      <c r="I673" s="397"/>
      <c r="J673" s="397"/>
      <c r="K673" s="397"/>
      <c r="L673" s="397"/>
      <c r="M673" s="397"/>
      <c r="N673" s="397"/>
      <c r="O673" s="397"/>
      <c r="P673" s="397"/>
      <c r="Q673" s="397"/>
      <c r="R673" s="397"/>
      <c r="S673" s="397"/>
      <c r="T673" s="397"/>
      <c r="U673" s="397"/>
      <c r="V673" s="397"/>
      <c r="W673" s="397"/>
      <c r="X673" s="397"/>
      <c r="Y673" s="397"/>
      <c r="Z673" s="397"/>
      <c r="AA673" s="397"/>
      <c r="AC673" s="332" t="s">
        <v>735</v>
      </c>
      <c r="AD673" s="332">
        <f>'4.1_Electricitat Illes Balears'!H60</f>
        <v>0</v>
      </c>
      <c r="AE673" s="350">
        <f>'4.1_Electricitat Illes Balears'!I60</f>
        <v>0</v>
      </c>
      <c r="AF673" s="333">
        <f t="shared" si="76"/>
        <v>0</v>
      </c>
      <c r="AG673" s="333">
        <f t="shared" si="77"/>
        <v>0</v>
      </c>
    </row>
    <row r="674" spans="2:34" x14ac:dyDescent="0.25">
      <c r="B674">
        <v>13</v>
      </c>
      <c r="C674" s="397" t="str">
        <f>IF('0_Dades generals organització'!H65="","",'0_Dades generals organització'!H65)</f>
        <v/>
      </c>
      <c r="D674" s="397" t="str">
        <f>IF(C674="","",IF('0_Dades generals organització'!J65="no","",Dades!C674))</f>
        <v/>
      </c>
      <c r="E674" s="397" t="str">
        <f>IFERROR(INDEX($D$662:$D$911,MATCH(0,INDEX(COUNTIF($E$661:E673,$D$662:$D$911),),)),"")</f>
        <v/>
      </c>
      <c r="F674" s="397"/>
      <c r="G674" s="397"/>
      <c r="H674" s="397"/>
      <c r="I674" s="397"/>
      <c r="J674" s="397"/>
      <c r="K674" s="397"/>
      <c r="L674" s="397"/>
      <c r="M674" s="397"/>
      <c r="N674" s="397"/>
      <c r="O674" s="397"/>
      <c r="P674" s="397"/>
      <c r="Q674" s="397"/>
      <c r="R674" s="397"/>
      <c r="S674" s="397"/>
      <c r="T674" s="397"/>
      <c r="U674" s="397"/>
      <c r="V674" s="397"/>
      <c r="W674" s="397"/>
      <c r="X674" s="397"/>
      <c r="Y674" s="397"/>
      <c r="Z674" s="397"/>
      <c r="AA674" s="397"/>
      <c r="AC674" s="332" t="s">
        <v>736</v>
      </c>
      <c r="AD674" s="332">
        <f>'4.1_Electricitat Illes Balears'!H61</f>
        <v>0</v>
      </c>
      <c r="AE674" s="350">
        <f>'4.1_Electricitat Illes Balears'!I61</f>
        <v>0</v>
      </c>
      <c r="AF674" s="333">
        <f t="shared" si="76"/>
        <v>0</v>
      </c>
      <c r="AG674" s="333">
        <f t="shared" si="77"/>
        <v>0</v>
      </c>
    </row>
    <row r="675" spans="2:34" x14ac:dyDescent="0.25">
      <c r="B675">
        <v>14</v>
      </c>
      <c r="C675" s="397" t="str">
        <f>IF('0_Dades generals organització'!H66="","",'0_Dades generals organització'!H66)</f>
        <v/>
      </c>
      <c r="D675" s="397" t="str">
        <f>IF(C675="","",IF('0_Dades generals organització'!J66="no","",Dades!C675))</f>
        <v/>
      </c>
      <c r="E675" s="397" t="str">
        <f>IFERROR(INDEX($D$662:$D$911,MATCH(0,INDEX(COUNTIF($E$661:E674,$D$662:$D$911),),)),"")</f>
        <v/>
      </c>
      <c r="F675" s="397"/>
      <c r="G675" s="397"/>
      <c r="H675" s="397"/>
      <c r="I675" s="397"/>
      <c r="J675" s="397"/>
      <c r="K675" s="397"/>
      <c r="L675" s="397"/>
      <c r="M675" s="397"/>
      <c r="N675" s="397"/>
      <c r="O675" s="397"/>
      <c r="P675" s="397"/>
      <c r="Q675" s="397"/>
      <c r="R675" s="397"/>
      <c r="S675" s="397"/>
      <c r="T675" s="397"/>
      <c r="U675" s="397"/>
      <c r="V675" s="397"/>
      <c r="W675" s="397"/>
      <c r="X675" s="397"/>
      <c r="Y675" s="397"/>
      <c r="Z675" s="397"/>
      <c r="AA675" s="397"/>
      <c r="AC675" s="332" t="s">
        <v>737</v>
      </c>
      <c r="AD675" s="332">
        <f>'4.1_Electricitat Illes Balears'!H62</f>
        <v>0</v>
      </c>
      <c r="AE675" s="350">
        <f>'4.1_Electricitat Illes Balears'!I62</f>
        <v>0</v>
      </c>
      <c r="AF675" s="333">
        <f t="shared" si="76"/>
        <v>0</v>
      </c>
      <c r="AG675" s="333">
        <f t="shared" si="77"/>
        <v>0</v>
      </c>
    </row>
    <row r="676" spans="2:34" x14ac:dyDescent="0.25">
      <c r="B676">
        <v>15</v>
      </c>
      <c r="C676" s="397" t="str">
        <f>IF('0_Dades generals organització'!H67="","",'0_Dades generals organització'!H67)</f>
        <v/>
      </c>
      <c r="D676" s="397" t="str">
        <f>IF(C676="","",IF('0_Dades generals organització'!J67="no","",Dades!C676))</f>
        <v/>
      </c>
      <c r="E676" s="397" t="str">
        <f>IFERROR(INDEX($D$662:$D$911,MATCH(0,INDEX(COUNTIF($E$661:E675,$D$662:$D$911),),)),"")</f>
        <v/>
      </c>
      <c r="F676" s="397"/>
      <c r="G676" s="397"/>
      <c r="H676" s="397"/>
      <c r="I676" s="397"/>
      <c r="J676" s="397"/>
      <c r="K676" s="397"/>
      <c r="L676" s="397"/>
      <c r="M676" s="397"/>
      <c r="N676" s="397"/>
      <c r="O676" s="397"/>
      <c r="P676" s="397"/>
      <c r="Q676" s="397"/>
      <c r="R676" s="397"/>
      <c r="S676" s="397"/>
      <c r="T676" s="397"/>
      <c r="U676" s="397"/>
      <c r="V676" s="397"/>
      <c r="W676" s="397"/>
      <c r="X676" s="397"/>
      <c r="Y676" s="397"/>
      <c r="Z676" s="397"/>
      <c r="AA676" s="397"/>
      <c r="AC676" s="332" t="s">
        <v>738</v>
      </c>
      <c r="AD676" s="332">
        <f>'4.1_Electricitat Illes Balears'!H63</f>
        <v>0</v>
      </c>
      <c r="AE676" s="350">
        <f>'4.1_Electricitat Illes Balears'!I63</f>
        <v>0</v>
      </c>
      <c r="AF676" s="333">
        <f t="shared" si="76"/>
        <v>0</v>
      </c>
      <c r="AG676" s="333">
        <f t="shared" si="77"/>
        <v>0</v>
      </c>
    </row>
    <row r="677" spans="2:34" x14ac:dyDescent="0.25">
      <c r="B677">
        <v>16</v>
      </c>
      <c r="C677" s="397" t="str">
        <f>IF('0_Dades generals organització'!H68="","",'0_Dades generals organització'!H68)</f>
        <v/>
      </c>
      <c r="D677" s="397" t="str">
        <f>IF(C677="","",IF('0_Dades generals organització'!J68="no","",Dades!C677))</f>
        <v/>
      </c>
      <c r="E677" s="397" t="str">
        <f>IFERROR(INDEX($D$662:$D$911,MATCH(0,INDEX(COUNTIF($E$661:E676,$D$662:$D$911),),)),"")</f>
        <v/>
      </c>
      <c r="F677" s="397"/>
      <c r="G677" s="397"/>
      <c r="H677" s="397"/>
      <c r="I677" s="397"/>
      <c r="J677" s="397"/>
      <c r="K677" s="397"/>
      <c r="L677" s="397"/>
      <c r="M677" s="397"/>
      <c r="N677" s="397"/>
      <c r="O677" s="397"/>
      <c r="P677" s="397"/>
      <c r="Q677" s="397"/>
      <c r="R677" s="397"/>
      <c r="S677" s="397"/>
      <c r="T677" s="397"/>
      <c r="U677" s="397"/>
      <c r="V677" s="397"/>
      <c r="W677" s="397"/>
      <c r="X677" s="397"/>
      <c r="Y677" s="397"/>
      <c r="Z677" s="397"/>
      <c r="AA677" s="397"/>
      <c r="AC677" s="332" t="s">
        <v>739</v>
      </c>
      <c r="AD677" s="332">
        <f>'4.1_Electricitat Illes Balears'!H64</f>
        <v>0</v>
      </c>
      <c r="AE677" s="350">
        <f>'4.1_Electricitat Illes Balears'!I64</f>
        <v>0</v>
      </c>
      <c r="AF677" s="333">
        <f t="shared" si="76"/>
        <v>0</v>
      </c>
      <c r="AG677" s="333">
        <f t="shared" si="77"/>
        <v>0</v>
      </c>
    </row>
    <row r="678" spans="2:34" x14ac:dyDescent="0.25">
      <c r="B678">
        <v>17</v>
      </c>
      <c r="C678" s="397" t="str">
        <f>IF('0_Dades generals organització'!H69="","",'0_Dades generals organització'!H69)</f>
        <v/>
      </c>
      <c r="D678" s="397" t="str">
        <f>IF(C678="","",IF('0_Dades generals organització'!J69="no","",Dades!C678))</f>
        <v/>
      </c>
      <c r="E678" s="397" t="str">
        <f>IFERROR(INDEX($D$662:$D$911,MATCH(0,INDEX(COUNTIF($E$661:E677,$D$662:$D$911),),)),"")</f>
        <v/>
      </c>
      <c r="F678" s="397"/>
      <c r="G678" s="397"/>
      <c r="H678" s="397"/>
      <c r="I678" s="397"/>
      <c r="J678" s="397"/>
      <c r="K678" s="397"/>
      <c r="L678" s="397"/>
      <c r="M678" s="397"/>
      <c r="N678" s="397"/>
      <c r="O678" s="397"/>
      <c r="P678" s="397"/>
      <c r="Q678" s="397"/>
      <c r="R678" s="397"/>
      <c r="S678" s="397"/>
      <c r="T678" s="397"/>
      <c r="U678" s="397"/>
      <c r="V678" s="397"/>
      <c r="W678" s="397"/>
      <c r="X678" s="397"/>
      <c r="Y678" s="397"/>
      <c r="Z678" s="397"/>
      <c r="AA678" s="397"/>
      <c r="AC678" s="332" t="s">
        <v>740</v>
      </c>
      <c r="AD678" s="332">
        <f>'4.1_Electricitat Illes Balears'!H65</f>
        <v>0</v>
      </c>
      <c r="AE678" s="350">
        <f>'4.1_Electricitat Illes Balears'!I65</f>
        <v>0</v>
      </c>
      <c r="AF678" s="333">
        <f t="shared" si="76"/>
        <v>0</v>
      </c>
      <c r="AG678" s="333">
        <f t="shared" si="77"/>
        <v>0</v>
      </c>
    </row>
    <row r="679" spans="2:34" x14ac:dyDescent="0.25">
      <c r="B679">
        <v>18</v>
      </c>
      <c r="C679" s="397" t="str">
        <f>IF('0_Dades generals organització'!H70="","",'0_Dades generals organització'!H70)</f>
        <v/>
      </c>
      <c r="D679" s="397" t="str">
        <f>IF(C679="","",IF('0_Dades generals organització'!J70="no","",Dades!C679))</f>
        <v/>
      </c>
      <c r="E679" s="397" t="str">
        <f>IFERROR(INDEX($D$662:$D$911,MATCH(0,INDEX(COUNTIF($E$661:E678,$D$662:$D$911),),)),"")</f>
        <v/>
      </c>
      <c r="F679" s="397"/>
      <c r="G679" s="397"/>
      <c r="H679" s="397"/>
      <c r="I679" s="397"/>
      <c r="J679" s="397"/>
      <c r="K679" s="397"/>
      <c r="L679" s="397"/>
      <c r="M679" s="397"/>
      <c r="N679" s="397"/>
      <c r="O679" s="397"/>
      <c r="P679" s="397"/>
      <c r="Q679" s="397"/>
      <c r="R679" s="397"/>
      <c r="S679" s="397"/>
      <c r="T679" s="397"/>
      <c r="U679" s="397"/>
      <c r="V679" s="397"/>
      <c r="W679" s="397"/>
      <c r="X679" s="397"/>
      <c r="Y679" s="397"/>
      <c r="Z679" s="397"/>
      <c r="AA679" s="397"/>
      <c r="AC679" s="332" t="s">
        <v>741</v>
      </c>
      <c r="AD679" s="332">
        <f>'4.1_Electricitat Illes Balears'!H66</f>
        <v>0</v>
      </c>
      <c r="AE679" s="350">
        <f>'4.1_Electricitat Illes Balears'!I66</f>
        <v>0</v>
      </c>
      <c r="AF679" s="333">
        <f t="shared" si="76"/>
        <v>0</v>
      </c>
      <c r="AG679" s="333">
        <f t="shared" si="77"/>
        <v>0</v>
      </c>
    </row>
    <row r="680" spans="2:34" x14ac:dyDescent="0.25">
      <c r="B680">
        <v>19</v>
      </c>
      <c r="C680" s="397" t="str">
        <f>IF('0_Dades generals organització'!H71="","",'0_Dades generals organització'!H71)</f>
        <v/>
      </c>
      <c r="D680" s="397" t="str">
        <f>IF(C680="","",IF('0_Dades generals organització'!J71="no","",Dades!C680))</f>
        <v/>
      </c>
      <c r="E680" s="397" t="str">
        <f>IFERROR(INDEX($D$662:$D$911,MATCH(0,INDEX(COUNTIF($E$661:E679,$D$662:$D$911),),)),"")</f>
        <v/>
      </c>
      <c r="F680" s="397"/>
      <c r="G680" s="397"/>
      <c r="H680" s="397"/>
      <c r="I680" s="397"/>
      <c r="J680" s="397"/>
      <c r="K680" s="397"/>
      <c r="L680" s="397"/>
      <c r="M680" s="397"/>
      <c r="N680" s="397"/>
      <c r="O680" s="397"/>
      <c r="P680" s="397"/>
      <c r="Q680" s="397"/>
      <c r="R680" s="397"/>
      <c r="S680" s="397"/>
      <c r="T680" s="397"/>
      <c r="U680" s="397"/>
      <c r="V680" s="397"/>
      <c r="W680" s="397"/>
      <c r="X680" s="397"/>
      <c r="Y680" s="397"/>
      <c r="Z680" s="397"/>
      <c r="AA680" s="397"/>
      <c r="AC680" s="332" t="s">
        <v>742</v>
      </c>
      <c r="AD680" s="332">
        <f>'4.1_Electricitat Illes Balears'!H67</f>
        <v>0</v>
      </c>
      <c r="AE680" s="350">
        <f>'4.1_Electricitat Illes Balears'!I67</f>
        <v>0</v>
      </c>
      <c r="AF680" s="333">
        <f t="shared" si="76"/>
        <v>0</v>
      </c>
      <c r="AG680" s="333">
        <f t="shared" si="77"/>
        <v>0</v>
      </c>
    </row>
    <row r="681" spans="2:34" x14ac:dyDescent="0.25">
      <c r="B681">
        <v>20</v>
      </c>
      <c r="C681" s="397" t="str">
        <f>IF('0_Dades generals organització'!H72="","",'0_Dades generals organització'!H72)</f>
        <v/>
      </c>
      <c r="D681" s="397" t="str">
        <f>IF(C681="","",IF('0_Dades generals organització'!J72="no","",Dades!C681))</f>
        <v/>
      </c>
      <c r="E681" s="397" t="str">
        <f>IFERROR(INDEX($D$662:$D$911,MATCH(0,INDEX(COUNTIF($E$661:E680,$D$662:$D$911),),)),"")</f>
        <v/>
      </c>
      <c r="F681" s="397"/>
      <c r="G681" s="397"/>
      <c r="H681" s="397"/>
      <c r="I681" s="397"/>
      <c r="J681" s="397"/>
      <c r="K681" s="397"/>
      <c r="L681" s="397"/>
      <c r="M681" s="397"/>
      <c r="N681" s="397"/>
      <c r="O681" s="397"/>
      <c r="P681" s="397"/>
      <c r="Q681" s="397"/>
      <c r="R681" s="397"/>
      <c r="S681" s="397"/>
      <c r="T681" s="397"/>
      <c r="U681" s="397"/>
      <c r="V681" s="397"/>
      <c r="W681" s="397"/>
      <c r="X681" s="397"/>
      <c r="Y681" s="397"/>
      <c r="Z681" s="397"/>
      <c r="AA681" s="397"/>
      <c r="AC681" s="332" t="s">
        <v>743</v>
      </c>
      <c r="AD681" s="332">
        <f>'4.1_Electricitat Illes Balears'!H68</f>
        <v>0</v>
      </c>
      <c r="AE681" s="350">
        <f>'4.1_Electricitat Illes Balears'!I68</f>
        <v>0</v>
      </c>
      <c r="AF681" s="333">
        <f t="shared" si="76"/>
        <v>0</v>
      </c>
      <c r="AG681" s="333">
        <f t="shared" si="77"/>
        <v>0</v>
      </c>
    </row>
    <row r="682" spans="2:34" x14ac:dyDescent="0.25">
      <c r="B682">
        <v>21</v>
      </c>
      <c r="C682" s="397" t="str">
        <f>IF('0_Dades generals organització'!H73="","",'0_Dades generals organització'!H73)</f>
        <v/>
      </c>
      <c r="D682" s="397" t="str">
        <f>IF(C682="","",IF('0_Dades generals organització'!J73="no","",Dades!C682))</f>
        <v/>
      </c>
      <c r="E682" s="397" t="str">
        <f>IFERROR(INDEX($D$662:$D$911,MATCH(0,INDEX(COUNTIF($E$661:E681,$D$662:$D$911),),)),"")</f>
        <v/>
      </c>
      <c r="F682" s="397"/>
      <c r="G682" s="397"/>
      <c r="H682" s="397"/>
      <c r="I682" s="397"/>
      <c r="J682" s="397"/>
      <c r="K682" s="397"/>
      <c r="L682" s="397"/>
      <c r="M682" s="397"/>
      <c r="N682" s="397"/>
      <c r="O682" s="397"/>
      <c r="P682" s="397"/>
      <c r="Q682" s="397"/>
      <c r="R682" s="397"/>
      <c r="S682" s="397"/>
      <c r="T682" s="397"/>
      <c r="U682" s="397"/>
      <c r="V682" s="397"/>
      <c r="W682" s="397"/>
      <c r="X682" s="397"/>
      <c r="Y682" s="397"/>
      <c r="Z682" s="397"/>
      <c r="AA682" s="397"/>
      <c r="AC682" s="332" t="s">
        <v>744</v>
      </c>
      <c r="AD682" s="332">
        <f>'4.1_Electricitat Illes Balears'!H69</f>
        <v>0</v>
      </c>
      <c r="AE682" s="350">
        <f>'4.1_Electricitat Illes Balears'!I69</f>
        <v>0</v>
      </c>
      <c r="AF682" s="333">
        <f t="shared" si="76"/>
        <v>0</v>
      </c>
      <c r="AG682" s="333">
        <f t="shared" si="77"/>
        <v>0</v>
      </c>
    </row>
    <row r="683" spans="2:34" x14ac:dyDescent="0.25">
      <c r="B683">
        <v>22</v>
      </c>
      <c r="C683" s="397" t="str">
        <f>IF('0_Dades generals organització'!H74="","",'0_Dades generals organització'!H74)</f>
        <v/>
      </c>
      <c r="D683" s="397" t="str">
        <f>IF(C683="","",IF('0_Dades generals organització'!J74="no","",Dades!C683))</f>
        <v/>
      </c>
      <c r="E683" s="397" t="str">
        <f>IFERROR(INDEX($D$662:$D$911,MATCH(0,INDEX(COUNTIF($E$661:E682,$D$662:$D$911),),)),"")</f>
        <v/>
      </c>
      <c r="F683" s="397"/>
      <c r="G683" s="397"/>
      <c r="H683" s="397"/>
      <c r="I683" s="397"/>
      <c r="J683" s="397"/>
      <c r="K683" s="397"/>
      <c r="L683" s="397"/>
      <c r="M683" s="397"/>
      <c r="N683" s="397"/>
      <c r="O683" s="397"/>
      <c r="P683" s="397"/>
      <c r="Q683" s="397"/>
      <c r="R683" s="397"/>
      <c r="S683" s="397"/>
      <c r="T683" s="397"/>
      <c r="U683" s="397"/>
      <c r="V683" s="397"/>
      <c r="W683" s="397"/>
      <c r="X683" s="397"/>
      <c r="Y683" s="397"/>
      <c r="Z683" s="397"/>
      <c r="AA683" s="397"/>
      <c r="AC683" s="332" t="s">
        <v>745</v>
      </c>
      <c r="AD683" s="332">
        <f>'4.1_Electricitat Illes Balears'!H70</f>
        <v>0</v>
      </c>
      <c r="AE683" s="350">
        <f>'4.1_Electricitat Illes Balears'!I70</f>
        <v>0</v>
      </c>
      <c r="AF683" s="333">
        <f t="shared" si="76"/>
        <v>0</v>
      </c>
      <c r="AG683" s="333">
        <f t="shared" si="77"/>
        <v>0</v>
      </c>
    </row>
    <row r="684" spans="2:34" x14ac:dyDescent="0.25">
      <c r="B684">
        <v>23</v>
      </c>
      <c r="C684" s="397" t="str">
        <f>IF('0_Dades generals organització'!H75="","",'0_Dades generals organització'!H75)</f>
        <v/>
      </c>
      <c r="D684" s="397" t="str">
        <f>IF(C684="","",IF('0_Dades generals organització'!J75="no","",Dades!C684))</f>
        <v/>
      </c>
      <c r="E684" s="397" t="str">
        <f>IFERROR(INDEX($D$662:$D$911,MATCH(0,INDEX(COUNTIF($E$661:E683,$D$662:$D$911),),)),"")</f>
        <v/>
      </c>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row>
    <row r="685" spans="2:34" x14ac:dyDescent="0.25">
      <c r="B685">
        <v>24</v>
      </c>
      <c r="C685" s="397" t="str">
        <f>IF('0_Dades generals organització'!H76="","",'0_Dades generals organització'!H76)</f>
        <v/>
      </c>
      <c r="D685" s="397" t="str">
        <f>IF(C685="","",IF('0_Dades generals organització'!J76="no","",Dades!C685))</f>
        <v/>
      </c>
      <c r="E685" s="397" t="str">
        <f>IFERROR(INDEX($D$662:$D$911,MATCH(0,INDEX(COUNTIF($E$661:E684,$D$662:$D$911),),)),"")</f>
        <v/>
      </c>
      <c r="F685" s="397"/>
      <c r="G685" s="397"/>
      <c r="H685" s="397"/>
      <c r="I685" s="397"/>
      <c r="J685" s="397"/>
      <c r="K685" s="397"/>
      <c r="L685" s="397"/>
      <c r="M685" s="397"/>
      <c r="N685" s="397"/>
      <c r="O685" s="397"/>
      <c r="P685" s="397"/>
      <c r="Q685" s="397"/>
      <c r="R685" s="397"/>
      <c r="S685" s="397"/>
      <c r="T685" s="397"/>
      <c r="U685" s="397"/>
      <c r="V685" s="397"/>
      <c r="W685" s="397"/>
      <c r="X685" s="397"/>
      <c r="Y685" s="397"/>
      <c r="Z685" s="397"/>
      <c r="AA685" s="397"/>
      <c r="AG685" s="333" t="s">
        <v>655</v>
      </c>
      <c r="AH685" s="332">
        <f>AH641+AH664</f>
        <v>0</v>
      </c>
    </row>
    <row r="686" spans="2:34" x14ac:dyDescent="0.25">
      <c r="B686">
        <v>25</v>
      </c>
      <c r="C686" s="397" t="str">
        <f>IF('0_Dades generals organització'!H77="","",'0_Dades generals organització'!H77)</f>
        <v/>
      </c>
      <c r="D686" s="397" t="str">
        <f>IF(C686="","",IF('0_Dades generals organització'!J77="no","",Dades!C686))</f>
        <v/>
      </c>
      <c r="E686" s="397" t="str">
        <f>IFERROR(INDEX($D$662:$D$911,MATCH(0,INDEX(COUNTIF($E$661:E685,$D$662:$D$911),),)),"")</f>
        <v/>
      </c>
      <c r="F686" s="397"/>
      <c r="G686" s="397"/>
      <c r="H686" s="397"/>
      <c r="I686" s="397"/>
      <c r="J686" s="397"/>
      <c r="K686" s="397"/>
      <c r="L686" s="397"/>
      <c r="M686" s="397"/>
      <c r="N686" s="397"/>
      <c r="O686" s="397"/>
      <c r="P686" s="397"/>
      <c r="Q686" s="397"/>
      <c r="R686" s="397"/>
      <c r="S686" s="397"/>
      <c r="T686" s="397"/>
      <c r="U686" s="397"/>
      <c r="V686" s="397"/>
      <c r="W686" s="397"/>
      <c r="X686" s="397"/>
      <c r="Y686" s="397"/>
      <c r="Z686" s="397"/>
      <c r="AA686" s="397"/>
    </row>
    <row r="687" spans="2:34" x14ac:dyDescent="0.25">
      <c r="B687">
        <v>26</v>
      </c>
      <c r="C687" s="397" t="str">
        <f>IF('0_Dades generals organització'!H78="","",'0_Dades generals organització'!H78)</f>
        <v/>
      </c>
      <c r="D687" s="397" t="str">
        <f>IF(C687="","",IF('0_Dades generals organització'!J78="no","",Dades!C687))</f>
        <v/>
      </c>
      <c r="E687" s="397" t="str">
        <f>IFERROR(INDEX($D$662:$D$911,MATCH(0,INDEX(COUNTIF($E$661:E686,$D$662:$D$911),),)),"")</f>
        <v/>
      </c>
      <c r="F687" s="397"/>
      <c r="G687" s="397"/>
      <c r="H687" s="397"/>
      <c r="I687" s="397"/>
      <c r="J687" s="397"/>
      <c r="K687" s="397"/>
      <c r="L687" s="397"/>
      <c r="M687" s="397"/>
      <c r="N687" s="397"/>
      <c r="O687" s="397"/>
      <c r="P687" s="397"/>
      <c r="Q687" s="397"/>
      <c r="R687" s="397"/>
      <c r="S687" s="397"/>
      <c r="T687" s="397"/>
      <c r="U687" s="397"/>
      <c r="V687" s="397"/>
      <c r="W687" s="397"/>
      <c r="X687" s="397"/>
      <c r="Y687" s="397"/>
      <c r="Z687" s="397"/>
      <c r="AA687" s="397"/>
    </row>
    <row r="688" spans="2:34" x14ac:dyDescent="0.25">
      <c r="B688">
        <v>27</v>
      </c>
      <c r="C688" s="397" t="str">
        <f>IF('0_Dades generals organització'!H79="","",'0_Dades generals organització'!H79)</f>
        <v/>
      </c>
      <c r="D688" s="397" t="str">
        <f>IF(C688="","",IF('0_Dades generals organització'!J79="no","",Dades!C688))</f>
        <v/>
      </c>
      <c r="E688" s="397" t="str">
        <f>IFERROR(INDEX($D$662:$D$911,MATCH(0,INDEX(COUNTIF($E$661:E687,$D$662:$D$911),),)),"")</f>
        <v/>
      </c>
      <c r="F688" s="397"/>
      <c r="G688" s="397"/>
      <c r="H688" s="397"/>
      <c r="I688" s="397"/>
      <c r="J688" s="397"/>
      <c r="K688" s="397"/>
      <c r="L688" s="397"/>
      <c r="M688" s="397"/>
      <c r="N688" s="397"/>
      <c r="O688" s="397"/>
      <c r="P688" s="397"/>
      <c r="Q688" s="397"/>
      <c r="R688" s="397"/>
      <c r="S688" s="397"/>
      <c r="T688" s="397"/>
      <c r="U688" s="397"/>
      <c r="V688" s="397"/>
      <c r="W688" s="397"/>
      <c r="X688" s="397"/>
      <c r="Y688" s="397"/>
      <c r="Z688" s="397"/>
      <c r="AA688" s="397"/>
    </row>
    <row r="689" spans="2:27" x14ac:dyDescent="0.25">
      <c r="B689">
        <v>28</v>
      </c>
      <c r="C689" s="397" t="str">
        <f>IF('0_Dades generals organització'!H80="","",'0_Dades generals organització'!H80)</f>
        <v/>
      </c>
      <c r="D689" s="397" t="str">
        <f>IF(C689="","",IF('0_Dades generals organització'!J80="no","",Dades!C689))</f>
        <v/>
      </c>
      <c r="E689" s="397" t="str">
        <f>IFERROR(INDEX($D$662:$D$911,MATCH(0,INDEX(COUNTIF($E$661:E688,$D$662:$D$911),),)),"")</f>
        <v/>
      </c>
      <c r="F689" s="397"/>
      <c r="G689" s="397"/>
      <c r="H689" s="397"/>
      <c r="I689" s="397"/>
      <c r="J689" s="397"/>
      <c r="K689" s="397"/>
      <c r="L689" s="397"/>
      <c r="M689" s="397"/>
      <c r="N689" s="397"/>
      <c r="O689" s="397"/>
      <c r="P689" s="397"/>
      <c r="Q689" s="397"/>
      <c r="R689" s="397"/>
      <c r="S689" s="397"/>
      <c r="T689" s="397"/>
      <c r="U689" s="397"/>
      <c r="V689" s="397"/>
      <c r="W689" s="397"/>
      <c r="X689" s="397"/>
      <c r="Y689" s="397"/>
      <c r="Z689" s="397"/>
      <c r="AA689" s="397"/>
    </row>
    <row r="690" spans="2:27" x14ac:dyDescent="0.25">
      <c r="B690">
        <v>29</v>
      </c>
      <c r="C690" s="397" t="str">
        <f>IF('0_Dades generals organització'!H81="","",'0_Dades generals organització'!H81)</f>
        <v/>
      </c>
      <c r="D690" s="397" t="str">
        <f>IF(C690="","",IF('0_Dades generals organització'!J81="no","",Dades!C690))</f>
        <v/>
      </c>
      <c r="E690" s="397" t="str">
        <f>IFERROR(INDEX($D$662:$D$911,MATCH(0,INDEX(COUNTIF($E$661:E689,$D$662:$D$911),),)),"")</f>
        <v/>
      </c>
      <c r="F690" s="397"/>
      <c r="G690" s="397"/>
      <c r="H690" s="397"/>
      <c r="I690" s="397"/>
      <c r="J690" s="397"/>
      <c r="K690" s="397"/>
      <c r="L690" s="397"/>
      <c r="M690" s="397"/>
      <c r="N690" s="397"/>
      <c r="O690" s="397"/>
      <c r="P690" s="397"/>
      <c r="Q690" s="397"/>
      <c r="R690" s="397"/>
      <c r="S690" s="397"/>
      <c r="T690" s="397"/>
      <c r="U690" s="397"/>
      <c r="V690" s="397"/>
      <c r="W690" s="397"/>
      <c r="X690" s="397"/>
      <c r="Y690" s="397"/>
      <c r="Z690" s="397"/>
      <c r="AA690" s="397"/>
    </row>
    <row r="691" spans="2:27" x14ac:dyDescent="0.25">
      <c r="B691">
        <v>30</v>
      </c>
      <c r="C691" s="397" t="str">
        <f>IF('0_Dades generals organització'!H82="","",'0_Dades generals organització'!H82)</f>
        <v/>
      </c>
      <c r="D691" s="397" t="str">
        <f>IF(C691="","",IF('0_Dades generals organització'!J82="no","",Dades!C691))</f>
        <v/>
      </c>
      <c r="E691" s="397" t="str">
        <f>IFERROR(INDEX($D$662:$D$911,MATCH(0,INDEX(COUNTIF($E$661:E690,$D$662:$D$911),),)),"")</f>
        <v/>
      </c>
      <c r="F691" s="397"/>
      <c r="G691" s="397"/>
      <c r="H691" s="397"/>
      <c r="I691" s="397"/>
      <c r="J691" s="397"/>
      <c r="K691" s="397"/>
      <c r="L691" s="397"/>
      <c r="M691" s="397"/>
      <c r="N691" s="397"/>
      <c r="O691" s="397"/>
      <c r="P691" s="397"/>
      <c r="Q691" s="397"/>
      <c r="R691" s="397"/>
      <c r="S691" s="397"/>
      <c r="T691" s="397"/>
      <c r="U691" s="397"/>
      <c r="V691" s="397"/>
      <c r="W691" s="397"/>
      <c r="X691" s="397"/>
      <c r="Y691" s="397"/>
      <c r="Z691" s="397"/>
      <c r="AA691" s="397"/>
    </row>
    <row r="692" spans="2:27" x14ac:dyDescent="0.25">
      <c r="B692">
        <v>31</v>
      </c>
      <c r="C692" s="397" t="str">
        <f>IF('0_Dades generals organització'!H83="","",'0_Dades generals organització'!H83)</f>
        <v/>
      </c>
      <c r="D692" s="397" t="str">
        <f>IF(C692="","",IF('0_Dades generals organització'!J83="no","",Dades!C692))</f>
        <v/>
      </c>
      <c r="E692" s="397" t="str">
        <f>IFERROR(INDEX($D$662:$D$911,MATCH(0,INDEX(COUNTIF($E$661:E691,$D$662:$D$911),),)),"")</f>
        <v/>
      </c>
      <c r="F692" s="397"/>
      <c r="G692" s="397"/>
      <c r="H692" s="397"/>
      <c r="I692" s="397"/>
      <c r="J692" s="397"/>
      <c r="K692" s="397"/>
      <c r="L692" s="397"/>
      <c r="M692" s="397"/>
      <c r="N692" s="397"/>
      <c r="O692" s="397"/>
      <c r="P692" s="397"/>
      <c r="Q692" s="397"/>
      <c r="R692" s="397"/>
      <c r="S692" s="397"/>
      <c r="T692" s="397"/>
      <c r="U692" s="397"/>
      <c r="V692" s="397"/>
      <c r="W692" s="397"/>
      <c r="X692" s="397"/>
      <c r="Y692" s="397"/>
      <c r="Z692" s="397"/>
      <c r="AA692" s="397"/>
    </row>
    <row r="693" spans="2:27" x14ac:dyDescent="0.25">
      <c r="B693">
        <v>32</v>
      </c>
      <c r="C693" s="397" t="str">
        <f>IF('0_Dades generals organització'!H84="","",'0_Dades generals organització'!H84)</f>
        <v/>
      </c>
      <c r="D693" s="397" t="str">
        <f>IF(C693="","",IF('0_Dades generals organització'!J84="no","",Dades!C693))</f>
        <v/>
      </c>
      <c r="E693" s="397" t="str">
        <f>IFERROR(INDEX($D$662:$D$911,MATCH(0,INDEX(COUNTIF($E$661:E692,$D$662:$D$911),),)),"")</f>
        <v/>
      </c>
      <c r="F693" s="397"/>
      <c r="G693" s="397"/>
      <c r="H693" s="397"/>
      <c r="I693" s="397"/>
      <c r="J693" s="397"/>
      <c r="K693" s="397"/>
      <c r="L693" s="397"/>
      <c r="M693" s="397"/>
      <c r="N693" s="397"/>
      <c r="O693" s="397"/>
      <c r="P693" s="397"/>
      <c r="Q693" s="397"/>
      <c r="R693" s="397"/>
      <c r="S693" s="397"/>
      <c r="T693" s="397"/>
      <c r="U693" s="397"/>
      <c r="V693" s="397"/>
      <c r="W693" s="397"/>
      <c r="X693" s="397"/>
      <c r="Y693" s="397"/>
      <c r="Z693" s="397"/>
      <c r="AA693" s="397"/>
    </row>
    <row r="694" spans="2:27" x14ac:dyDescent="0.25">
      <c r="B694">
        <v>33</v>
      </c>
      <c r="C694" s="397" t="str">
        <f>IF('0_Dades generals organització'!H85="","",'0_Dades generals organització'!H85)</f>
        <v/>
      </c>
      <c r="D694" s="397" t="str">
        <f>IF(C694="","",IF('0_Dades generals organització'!J85="no","",Dades!C694))</f>
        <v/>
      </c>
      <c r="E694" s="397" t="str">
        <f>IFERROR(INDEX($D$662:$D$911,MATCH(0,INDEX(COUNTIF($E$661:E693,$D$662:$D$911),),)),"")</f>
        <v/>
      </c>
      <c r="F694" s="397"/>
      <c r="G694" s="397"/>
      <c r="H694" s="397"/>
      <c r="I694" s="397"/>
      <c r="J694" s="397"/>
      <c r="K694" s="397"/>
      <c r="L694" s="397"/>
      <c r="M694" s="397"/>
      <c r="N694" s="397"/>
      <c r="O694" s="397"/>
      <c r="P694" s="397"/>
      <c r="Q694" s="397"/>
      <c r="R694" s="397"/>
      <c r="S694" s="397"/>
      <c r="T694" s="397"/>
      <c r="U694" s="397"/>
      <c r="V694" s="397"/>
      <c r="W694" s="397"/>
      <c r="X694" s="397"/>
      <c r="Y694" s="397"/>
      <c r="Z694" s="397"/>
      <c r="AA694" s="397"/>
    </row>
    <row r="695" spans="2:27" x14ac:dyDescent="0.25">
      <c r="B695">
        <v>34</v>
      </c>
      <c r="C695" s="397" t="str">
        <f>IF('0_Dades generals organització'!H86="","",'0_Dades generals organització'!H86)</f>
        <v/>
      </c>
      <c r="D695" s="397" t="str">
        <f>IF(C695="","",IF('0_Dades generals organització'!J86="no","",Dades!C695))</f>
        <v/>
      </c>
      <c r="E695" s="397" t="str">
        <f>IFERROR(INDEX($D$662:$D$911,MATCH(0,INDEX(COUNTIF($E$661:E694,$D$662:$D$911),),)),"")</f>
        <v/>
      </c>
      <c r="F695" s="397"/>
      <c r="G695" s="397"/>
      <c r="H695" s="397"/>
      <c r="I695" s="397"/>
      <c r="J695" s="397"/>
      <c r="K695" s="397"/>
      <c r="L695" s="397"/>
      <c r="M695" s="397"/>
      <c r="N695" s="397"/>
      <c r="O695" s="397"/>
      <c r="P695" s="397"/>
      <c r="Q695" s="397"/>
      <c r="R695" s="397"/>
      <c r="S695" s="397"/>
      <c r="T695" s="397"/>
      <c r="U695" s="397"/>
      <c r="V695" s="397"/>
      <c r="W695" s="397"/>
      <c r="X695" s="397"/>
      <c r="Y695" s="397"/>
      <c r="Z695" s="397"/>
      <c r="AA695" s="397"/>
    </row>
    <row r="696" spans="2:27" x14ac:dyDescent="0.25">
      <c r="B696">
        <v>35</v>
      </c>
      <c r="C696" s="397" t="str">
        <f>IF('0_Dades generals organització'!H87="","",'0_Dades generals organització'!H87)</f>
        <v/>
      </c>
      <c r="D696" s="397" t="str">
        <f>IF(C696="","",IF('0_Dades generals organització'!J87="no","",Dades!C696))</f>
        <v/>
      </c>
      <c r="E696" s="397" t="str">
        <f>IFERROR(INDEX($D$662:$D$911,MATCH(0,INDEX(COUNTIF($E$661:E695,$D$662:$D$911),),)),"")</f>
        <v/>
      </c>
      <c r="F696" s="397"/>
      <c r="G696" s="397"/>
      <c r="H696" s="397"/>
      <c r="I696" s="397"/>
      <c r="J696" s="397"/>
      <c r="K696" s="397"/>
      <c r="L696" s="397"/>
      <c r="M696" s="397"/>
      <c r="N696" s="397"/>
      <c r="O696" s="397"/>
      <c r="P696" s="397"/>
      <c r="Q696" s="397"/>
      <c r="R696" s="397"/>
      <c r="S696" s="397"/>
      <c r="T696" s="397"/>
      <c r="U696" s="397"/>
      <c r="V696" s="397"/>
      <c r="W696" s="397"/>
      <c r="X696" s="397"/>
      <c r="Y696" s="397"/>
      <c r="Z696" s="397"/>
      <c r="AA696" s="397"/>
    </row>
    <row r="697" spans="2:27" x14ac:dyDescent="0.25">
      <c r="B697">
        <v>36</v>
      </c>
      <c r="C697" s="397" t="str">
        <f>IF('0_Dades generals organització'!H88="","",'0_Dades generals organització'!H88)</f>
        <v/>
      </c>
      <c r="D697" s="397" t="str">
        <f>IF(C697="","",IF('0_Dades generals organització'!J88="no","",Dades!C697))</f>
        <v/>
      </c>
      <c r="E697" s="397" t="str">
        <f>IFERROR(INDEX($D$662:$D$911,MATCH(0,INDEX(COUNTIF($E$661:E696,$D$662:$D$911),),)),"")</f>
        <v/>
      </c>
      <c r="F697" s="397"/>
      <c r="G697" s="397"/>
      <c r="H697" s="397"/>
      <c r="I697" s="397"/>
      <c r="J697" s="397"/>
      <c r="K697" s="397"/>
      <c r="L697" s="397"/>
      <c r="M697" s="397"/>
      <c r="N697" s="397"/>
      <c r="O697" s="397"/>
      <c r="P697" s="397"/>
      <c r="Q697" s="397"/>
      <c r="R697" s="397"/>
      <c r="S697" s="397"/>
      <c r="T697" s="397"/>
      <c r="U697" s="397"/>
      <c r="V697" s="397"/>
      <c r="W697" s="397"/>
      <c r="X697" s="397"/>
      <c r="Y697" s="397"/>
      <c r="Z697" s="397"/>
      <c r="AA697" s="397"/>
    </row>
    <row r="698" spans="2:27" x14ac:dyDescent="0.25">
      <c r="B698">
        <v>37</v>
      </c>
      <c r="C698" s="397" t="str">
        <f>IF('0_Dades generals organització'!H89="","",'0_Dades generals organització'!H89)</f>
        <v/>
      </c>
      <c r="D698" s="397" t="str">
        <f>IF(C698="","",IF('0_Dades generals organització'!J89="no","",Dades!C698))</f>
        <v/>
      </c>
      <c r="E698" s="397" t="str">
        <f>IFERROR(INDEX($D$662:$D$911,MATCH(0,INDEX(COUNTIF($E$661:E697,$D$662:$D$911),),)),"")</f>
        <v/>
      </c>
      <c r="F698" s="397"/>
      <c r="G698" s="397"/>
      <c r="H698" s="397"/>
      <c r="I698" s="397"/>
      <c r="J698" s="397"/>
      <c r="K698" s="397"/>
      <c r="L698" s="397"/>
      <c r="M698" s="397"/>
      <c r="N698" s="397"/>
      <c r="O698" s="397"/>
      <c r="P698" s="397"/>
      <c r="Q698" s="397"/>
      <c r="R698" s="397"/>
      <c r="S698" s="397"/>
      <c r="T698" s="397"/>
      <c r="U698" s="397"/>
      <c r="V698" s="397"/>
      <c r="W698" s="397"/>
      <c r="X698" s="397"/>
      <c r="Y698" s="397"/>
      <c r="Z698" s="397"/>
      <c r="AA698" s="397"/>
    </row>
    <row r="699" spans="2:27" x14ac:dyDescent="0.25">
      <c r="B699">
        <v>38</v>
      </c>
      <c r="C699" s="397" t="str">
        <f>IF('0_Dades generals organització'!H90="","",'0_Dades generals organització'!H90)</f>
        <v/>
      </c>
      <c r="D699" s="397" t="str">
        <f>IF(C699="","",IF('0_Dades generals organització'!J90="no","",Dades!C699))</f>
        <v/>
      </c>
      <c r="E699" s="397" t="str">
        <f>IFERROR(INDEX($D$662:$D$911,MATCH(0,INDEX(COUNTIF($E$661:E698,$D$662:$D$911),),)),"")</f>
        <v/>
      </c>
      <c r="F699" s="397"/>
      <c r="G699" s="397"/>
      <c r="H699" s="397"/>
      <c r="I699" s="397"/>
      <c r="J699" s="397"/>
      <c r="K699" s="397"/>
      <c r="L699" s="397"/>
      <c r="M699" s="397"/>
      <c r="N699" s="397"/>
      <c r="O699" s="397"/>
      <c r="P699" s="397"/>
      <c r="Q699" s="397"/>
      <c r="R699" s="397"/>
      <c r="S699" s="397"/>
      <c r="T699" s="397"/>
      <c r="U699" s="397"/>
      <c r="V699" s="397"/>
      <c r="W699" s="397"/>
      <c r="X699" s="397"/>
      <c r="Y699" s="397"/>
      <c r="Z699" s="397"/>
      <c r="AA699" s="397"/>
    </row>
    <row r="700" spans="2:27" x14ac:dyDescent="0.25">
      <c r="B700">
        <v>39</v>
      </c>
      <c r="C700" s="397" t="str">
        <f>IF('0_Dades generals organització'!H91="","",'0_Dades generals organització'!H91)</f>
        <v/>
      </c>
      <c r="D700" s="397" t="str">
        <f>IF(C700="","",IF('0_Dades generals organització'!J91="no","",Dades!C700))</f>
        <v/>
      </c>
      <c r="E700" s="397" t="str">
        <f>IFERROR(INDEX($D$662:$D$911,MATCH(0,INDEX(COUNTIF($E$661:E699,$D$662:$D$911),),)),"")</f>
        <v/>
      </c>
      <c r="F700" s="397"/>
      <c r="G700" s="397"/>
      <c r="H700" s="397"/>
      <c r="I700" s="397"/>
      <c r="J700" s="397"/>
      <c r="K700" s="397"/>
      <c r="L700" s="397"/>
      <c r="M700" s="397"/>
      <c r="N700" s="397"/>
      <c r="O700" s="397"/>
      <c r="P700" s="397"/>
      <c r="Q700" s="397"/>
      <c r="R700" s="397"/>
      <c r="S700" s="397"/>
      <c r="T700" s="397"/>
      <c r="U700" s="397"/>
      <c r="V700" s="397"/>
      <c r="W700" s="397"/>
      <c r="X700" s="397"/>
      <c r="Y700" s="397"/>
      <c r="Z700" s="397"/>
      <c r="AA700" s="397"/>
    </row>
    <row r="701" spans="2:27" x14ac:dyDescent="0.25">
      <c r="B701">
        <v>40</v>
      </c>
      <c r="C701" s="397" t="str">
        <f>IF('0_Dades generals organització'!H92="","",'0_Dades generals organització'!H92)</f>
        <v/>
      </c>
      <c r="D701" s="397" t="str">
        <f>IF(C701="","",IF('0_Dades generals organització'!J92="no","",Dades!C701))</f>
        <v/>
      </c>
      <c r="E701" s="397" t="str">
        <f>IFERROR(INDEX($D$662:$D$911,MATCH(0,INDEX(COUNTIF($E$661:E700,$D$662:$D$911),),)),"")</f>
        <v/>
      </c>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row>
    <row r="702" spans="2:27" x14ac:dyDescent="0.25">
      <c r="B702">
        <v>41</v>
      </c>
      <c r="C702" s="397" t="str">
        <f>IF('0_Dades generals organització'!H93="","",'0_Dades generals organització'!H93)</f>
        <v/>
      </c>
      <c r="D702" s="397" t="str">
        <f>IF(C702="","",IF('0_Dades generals organització'!J93="no","",Dades!C702))</f>
        <v/>
      </c>
      <c r="E702" s="397" t="str">
        <f>IFERROR(INDEX($D$662:$D$911,MATCH(0,INDEX(COUNTIF($E$661:E701,$D$662:$D$911),),)),"")</f>
        <v/>
      </c>
      <c r="F702" s="397"/>
      <c r="G702" s="397"/>
      <c r="H702" s="397"/>
      <c r="I702" s="397"/>
      <c r="J702" s="397"/>
      <c r="K702" s="397"/>
      <c r="L702" s="397"/>
      <c r="M702" s="397"/>
      <c r="N702" s="397"/>
      <c r="O702" s="397"/>
      <c r="P702" s="397"/>
      <c r="Q702" s="397"/>
      <c r="R702" s="397"/>
      <c r="S702" s="397"/>
      <c r="T702" s="397"/>
      <c r="U702" s="397"/>
      <c r="V702" s="397"/>
      <c r="W702" s="397"/>
      <c r="X702" s="397"/>
      <c r="Y702" s="397"/>
      <c r="Z702" s="397"/>
      <c r="AA702" s="397"/>
    </row>
    <row r="703" spans="2:27" x14ac:dyDescent="0.25">
      <c r="B703">
        <v>42</v>
      </c>
      <c r="C703" s="397" t="str">
        <f>IF('0_Dades generals organització'!H94="","",'0_Dades generals organització'!H94)</f>
        <v/>
      </c>
      <c r="D703" s="397" t="str">
        <f>IF(C703="","",IF('0_Dades generals organització'!J94="no","",Dades!C703))</f>
        <v/>
      </c>
      <c r="E703" s="397" t="str">
        <f>IFERROR(INDEX($D$662:$D$911,MATCH(0,INDEX(COUNTIF($E$661:E702,$D$662:$D$911),),)),"")</f>
        <v/>
      </c>
      <c r="F703" s="397"/>
      <c r="G703" s="397"/>
      <c r="H703" s="397"/>
      <c r="I703" s="397"/>
      <c r="J703" s="397"/>
      <c r="K703" s="397"/>
      <c r="L703" s="397"/>
      <c r="M703" s="397"/>
      <c r="N703" s="397"/>
      <c r="O703" s="397"/>
      <c r="P703" s="397"/>
      <c r="Q703" s="397"/>
      <c r="R703" s="397"/>
      <c r="S703" s="397"/>
      <c r="T703" s="397"/>
      <c r="U703" s="397"/>
      <c r="V703" s="397"/>
      <c r="W703" s="397"/>
      <c r="X703" s="397"/>
      <c r="Y703" s="397"/>
      <c r="Z703" s="397"/>
      <c r="AA703" s="397"/>
    </row>
    <row r="704" spans="2:27" x14ac:dyDescent="0.25">
      <c r="B704">
        <v>43</v>
      </c>
      <c r="C704" s="397" t="str">
        <f>IF('0_Dades generals organització'!H95="","",'0_Dades generals organització'!H95)</f>
        <v/>
      </c>
      <c r="D704" s="397" t="str">
        <f>IF(C704="","",IF('0_Dades generals organització'!J95="no","",Dades!C704))</f>
        <v/>
      </c>
      <c r="E704" s="397" t="str">
        <f>IFERROR(INDEX($D$662:$D$911,MATCH(0,INDEX(COUNTIF($E$661:E703,$D$662:$D$911),),)),"")</f>
        <v/>
      </c>
      <c r="F704" s="397"/>
      <c r="G704" s="397"/>
      <c r="H704" s="397"/>
      <c r="I704" s="397"/>
      <c r="J704" s="397"/>
      <c r="K704" s="397"/>
      <c r="L704" s="397"/>
      <c r="M704" s="397"/>
      <c r="N704" s="397"/>
      <c r="O704" s="397"/>
      <c r="P704" s="397"/>
      <c r="Q704" s="397"/>
      <c r="R704" s="397"/>
      <c r="S704" s="397"/>
      <c r="T704" s="397"/>
      <c r="U704" s="397"/>
      <c r="V704" s="397"/>
      <c r="W704" s="397"/>
      <c r="X704" s="397"/>
      <c r="Y704" s="397"/>
      <c r="Z704" s="397"/>
      <c r="AA704" s="397"/>
    </row>
    <row r="705" spans="2:27" x14ac:dyDescent="0.25">
      <c r="B705">
        <v>44</v>
      </c>
      <c r="C705" s="397" t="str">
        <f>IF('0_Dades generals organització'!H96="","",'0_Dades generals organització'!H96)</f>
        <v/>
      </c>
      <c r="D705" s="397" t="str">
        <f>IF(C705="","",IF('0_Dades generals organització'!J96="no","",Dades!C705))</f>
        <v/>
      </c>
      <c r="E705" s="397" t="str">
        <f>IFERROR(INDEX($D$662:$D$911,MATCH(0,INDEX(COUNTIF($E$661:E704,$D$662:$D$911),),)),"")</f>
        <v/>
      </c>
      <c r="F705" s="397"/>
      <c r="G705" s="397"/>
      <c r="H705" s="397"/>
      <c r="I705" s="397"/>
      <c r="J705" s="397"/>
      <c r="K705" s="397"/>
      <c r="L705" s="397"/>
      <c r="M705" s="397"/>
      <c r="N705" s="397"/>
      <c r="O705" s="397"/>
      <c r="P705" s="397"/>
      <c r="Q705" s="397"/>
      <c r="R705" s="397"/>
      <c r="S705" s="397"/>
      <c r="T705" s="397"/>
      <c r="U705" s="397"/>
      <c r="V705" s="397"/>
      <c r="W705" s="397"/>
      <c r="X705" s="397"/>
      <c r="Y705" s="397"/>
      <c r="Z705" s="397"/>
      <c r="AA705" s="397"/>
    </row>
    <row r="706" spans="2:27" x14ac:dyDescent="0.25">
      <c r="B706">
        <v>45</v>
      </c>
      <c r="C706" s="397" t="str">
        <f>IF('0_Dades generals organització'!H97="","",'0_Dades generals organització'!H97)</f>
        <v/>
      </c>
      <c r="D706" s="397" t="str">
        <f>IF(C706="","",IF('0_Dades generals organització'!J97="no","",Dades!C706))</f>
        <v/>
      </c>
      <c r="E706" s="397" t="str">
        <f>IFERROR(INDEX($D$662:$D$911,MATCH(0,INDEX(COUNTIF($E$661:E705,$D$662:$D$911),),)),"")</f>
        <v/>
      </c>
      <c r="F706" s="397"/>
      <c r="G706" s="397"/>
      <c r="H706" s="397"/>
      <c r="I706" s="397"/>
      <c r="J706" s="397"/>
      <c r="K706" s="397"/>
      <c r="L706" s="397"/>
      <c r="M706" s="397"/>
      <c r="N706" s="397"/>
      <c r="O706" s="397"/>
      <c r="P706" s="397"/>
      <c r="Q706" s="397"/>
      <c r="R706" s="397"/>
      <c r="S706" s="397"/>
      <c r="T706" s="397"/>
      <c r="U706" s="397"/>
      <c r="V706" s="397"/>
      <c r="W706" s="397"/>
      <c r="X706" s="397"/>
      <c r="Y706" s="397"/>
      <c r="Z706" s="397"/>
      <c r="AA706" s="397"/>
    </row>
    <row r="707" spans="2:27" x14ac:dyDescent="0.25">
      <c r="B707">
        <v>46</v>
      </c>
      <c r="C707" s="397" t="str">
        <f>IF('0_Dades generals organització'!H98="","",'0_Dades generals organització'!H98)</f>
        <v/>
      </c>
      <c r="D707" s="397" t="str">
        <f>IF(C707="","",IF('0_Dades generals organització'!J98="no","",Dades!C707))</f>
        <v/>
      </c>
      <c r="E707" s="397" t="str">
        <f>IFERROR(INDEX($D$662:$D$911,MATCH(0,INDEX(COUNTIF($E$661:E706,$D$662:$D$911),),)),"")</f>
        <v/>
      </c>
      <c r="F707" s="397"/>
      <c r="G707" s="397"/>
      <c r="H707" s="397"/>
      <c r="I707" s="397"/>
      <c r="J707" s="397"/>
      <c r="K707" s="397"/>
      <c r="L707" s="397"/>
      <c r="M707" s="397"/>
      <c r="N707" s="397"/>
      <c r="O707" s="397"/>
      <c r="P707" s="397"/>
      <c r="Q707" s="397"/>
      <c r="R707" s="397"/>
      <c r="S707" s="397"/>
      <c r="T707" s="397"/>
      <c r="U707" s="397"/>
      <c r="V707" s="397"/>
      <c r="W707" s="397"/>
      <c r="X707" s="397"/>
      <c r="Y707" s="397"/>
      <c r="Z707" s="397"/>
      <c r="AA707" s="397"/>
    </row>
    <row r="708" spans="2:27" x14ac:dyDescent="0.25">
      <c r="B708">
        <v>47</v>
      </c>
      <c r="C708" s="397" t="str">
        <f>IF('0_Dades generals organització'!H99="","",'0_Dades generals organització'!H99)</f>
        <v/>
      </c>
      <c r="D708" s="397" t="str">
        <f>IF(C708="","",IF('0_Dades generals organització'!J99="no","",Dades!C708))</f>
        <v/>
      </c>
      <c r="E708" s="397" t="str">
        <f>IFERROR(INDEX($D$662:$D$911,MATCH(0,INDEX(COUNTIF($E$661:E707,$D$662:$D$911),),)),"")</f>
        <v/>
      </c>
      <c r="F708" s="397"/>
      <c r="G708" s="397"/>
      <c r="H708" s="397"/>
      <c r="I708" s="397"/>
      <c r="J708" s="397"/>
      <c r="K708" s="397"/>
      <c r="L708" s="397"/>
      <c r="M708" s="397"/>
      <c r="N708" s="397"/>
      <c r="O708" s="397"/>
      <c r="P708" s="397"/>
      <c r="Q708" s="397"/>
      <c r="R708" s="397"/>
      <c r="S708" s="397"/>
      <c r="T708" s="397"/>
      <c r="U708" s="397"/>
      <c r="V708" s="397"/>
      <c r="W708" s="397"/>
      <c r="X708" s="397"/>
      <c r="Y708" s="397"/>
      <c r="Z708" s="397"/>
      <c r="AA708" s="397"/>
    </row>
    <row r="709" spans="2:27" x14ac:dyDescent="0.25">
      <c r="B709">
        <v>48</v>
      </c>
      <c r="C709" s="397" t="str">
        <f>IF('0_Dades generals organització'!H100="","",'0_Dades generals organització'!H100)</f>
        <v/>
      </c>
      <c r="D709" s="397" t="str">
        <f>IF(C709="","",IF('0_Dades generals organització'!J100="no","",Dades!C709))</f>
        <v/>
      </c>
      <c r="E709" s="397" t="str">
        <f>IFERROR(INDEX($D$662:$D$911,MATCH(0,INDEX(COUNTIF($E$661:E708,$D$662:$D$911),),)),"")</f>
        <v/>
      </c>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row>
    <row r="710" spans="2:27" x14ac:dyDescent="0.25">
      <c r="B710">
        <v>49</v>
      </c>
      <c r="C710" s="397" t="str">
        <f>IF('0_Dades generals organització'!H101="","",'0_Dades generals organització'!H101)</f>
        <v/>
      </c>
      <c r="D710" s="397" t="str">
        <f>IF(C710="","",IF('0_Dades generals organització'!J101="no","",Dades!C710))</f>
        <v/>
      </c>
      <c r="E710" s="397" t="str">
        <f>IFERROR(INDEX($D$662:$D$911,MATCH(0,INDEX(COUNTIF($E$661:E709,$D$662:$D$911),),)),"")</f>
        <v/>
      </c>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row>
    <row r="711" spans="2:27" x14ac:dyDescent="0.25">
      <c r="B711">
        <v>50</v>
      </c>
      <c r="C711" s="397" t="str">
        <f>IF('0_Dades generals organització'!H102="","",'0_Dades generals organització'!H102)</f>
        <v/>
      </c>
      <c r="D711" s="397" t="str">
        <f>IF(C711="","",IF('0_Dades generals organització'!J102="no","",Dades!C711))</f>
        <v/>
      </c>
      <c r="E711" s="397" t="str">
        <f>IFERROR(INDEX($D$662:$D$911,MATCH(0,INDEX(COUNTIF($E$661:E710,$D$662:$D$911),),)),"")</f>
        <v/>
      </c>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row>
    <row r="712" spans="2:27" x14ac:dyDescent="0.25">
      <c r="B712">
        <v>51</v>
      </c>
      <c r="C712" s="397" t="str">
        <f>IF('0_Dades generals organització'!H103="","",'0_Dades generals organització'!H103)</f>
        <v/>
      </c>
      <c r="D712" s="397" t="str">
        <f>IF(C712="","",IF('0_Dades generals organització'!J103="no","",Dades!C712))</f>
        <v/>
      </c>
      <c r="E712" s="397" t="str">
        <f>IFERROR(INDEX($D$662:$D$911,MATCH(0,INDEX(COUNTIF($E$661:E711,$D$662:$D$911),),)),"")</f>
        <v/>
      </c>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row>
    <row r="713" spans="2:27" x14ac:dyDescent="0.25">
      <c r="B713">
        <v>52</v>
      </c>
      <c r="C713" s="397" t="str">
        <f>IF('0_Dades generals organització'!H104="","",'0_Dades generals organització'!H104)</f>
        <v/>
      </c>
      <c r="D713" s="397" t="str">
        <f>IF(C713="","",IF('0_Dades generals organització'!J104="no","",Dades!C713))</f>
        <v/>
      </c>
      <c r="E713" s="397" t="str">
        <f>IFERROR(INDEX($D$662:$D$911,MATCH(0,INDEX(COUNTIF($E$661:E712,$D$662:$D$911),),)),"")</f>
        <v/>
      </c>
      <c r="F713" s="397"/>
      <c r="G713" s="397"/>
      <c r="H713" s="397"/>
      <c r="I713" s="397"/>
      <c r="J713" s="397"/>
      <c r="K713" s="397"/>
      <c r="L713" s="397"/>
      <c r="M713" s="397"/>
      <c r="N713" s="397"/>
      <c r="O713" s="397"/>
      <c r="P713" s="397"/>
      <c r="Q713" s="397"/>
      <c r="R713" s="397"/>
      <c r="S713" s="397"/>
      <c r="T713" s="397"/>
      <c r="U713" s="397"/>
      <c r="V713" s="397"/>
      <c r="W713" s="397"/>
      <c r="X713" s="397"/>
      <c r="Y713" s="397"/>
      <c r="Z713" s="397"/>
      <c r="AA713" s="397"/>
    </row>
    <row r="714" spans="2:27" x14ac:dyDescent="0.25">
      <c r="B714">
        <v>53</v>
      </c>
      <c r="C714" s="397" t="str">
        <f>IF('0_Dades generals organització'!H105="","",'0_Dades generals organització'!H105)</f>
        <v/>
      </c>
      <c r="D714" s="397" t="str">
        <f>IF(C714="","",IF('0_Dades generals organització'!J105="no","",Dades!C714))</f>
        <v/>
      </c>
      <c r="E714" s="397" t="str">
        <f>IFERROR(INDEX($D$662:$D$911,MATCH(0,INDEX(COUNTIF($E$661:E713,$D$662:$D$911),),)),"")</f>
        <v/>
      </c>
      <c r="F714" s="397"/>
      <c r="G714" s="397"/>
      <c r="H714" s="397"/>
      <c r="I714" s="397"/>
      <c r="J714" s="397"/>
      <c r="K714" s="397"/>
      <c r="L714" s="397"/>
      <c r="M714" s="397"/>
      <c r="N714" s="397"/>
      <c r="O714" s="397"/>
      <c r="P714" s="397"/>
      <c r="Q714" s="397"/>
      <c r="R714" s="397"/>
      <c r="S714" s="397"/>
      <c r="T714" s="397"/>
      <c r="U714" s="397"/>
      <c r="V714" s="397"/>
      <c r="W714" s="397"/>
      <c r="X714" s="397"/>
      <c r="Y714" s="397"/>
      <c r="Z714" s="397"/>
      <c r="AA714" s="397"/>
    </row>
    <row r="715" spans="2:27" x14ac:dyDescent="0.25">
      <c r="B715">
        <v>54</v>
      </c>
      <c r="C715" s="397" t="str">
        <f>IF('0_Dades generals organització'!H106="","",'0_Dades generals organització'!H106)</f>
        <v/>
      </c>
      <c r="D715" s="397" t="str">
        <f>IF(C715="","",IF('0_Dades generals organització'!J106="no","",Dades!C715))</f>
        <v/>
      </c>
      <c r="E715" s="397" t="str">
        <f>IFERROR(INDEX($D$662:$D$911,MATCH(0,INDEX(COUNTIF($E$661:E714,$D$662:$D$911),),)),"")</f>
        <v/>
      </c>
      <c r="F715" s="397"/>
      <c r="G715" s="397"/>
      <c r="H715" s="397"/>
      <c r="I715" s="397"/>
      <c r="J715" s="397"/>
      <c r="K715" s="397"/>
      <c r="L715" s="397"/>
      <c r="M715" s="397"/>
      <c r="N715" s="397"/>
      <c r="O715" s="397"/>
      <c r="P715" s="397"/>
      <c r="Q715" s="397"/>
      <c r="R715" s="397"/>
      <c r="S715" s="397"/>
      <c r="T715" s="397"/>
      <c r="U715" s="397"/>
      <c r="V715" s="397"/>
      <c r="W715" s="397"/>
      <c r="X715" s="397"/>
      <c r="Y715" s="397"/>
      <c r="Z715" s="397"/>
      <c r="AA715" s="397"/>
    </row>
    <row r="716" spans="2:27" x14ac:dyDescent="0.25">
      <c r="B716">
        <v>55</v>
      </c>
      <c r="C716" s="397" t="str">
        <f>IF('0_Dades generals organització'!H107="","",'0_Dades generals organització'!H107)</f>
        <v/>
      </c>
      <c r="D716" s="397" t="str">
        <f>IF(C716="","",IF('0_Dades generals organització'!J107="no","",Dades!C716))</f>
        <v/>
      </c>
      <c r="E716" s="397" t="str">
        <f>IFERROR(INDEX($D$662:$D$911,MATCH(0,INDEX(COUNTIF($E$661:E715,$D$662:$D$911),),)),"")</f>
        <v/>
      </c>
      <c r="F716" s="397"/>
      <c r="G716" s="397"/>
      <c r="H716" s="397"/>
      <c r="I716" s="397"/>
      <c r="J716" s="397"/>
      <c r="K716" s="397"/>
      <c r="L716" s="397"/>
      <c r="M716" s="397"/>
      <c r="N716" s="397"/>
      <c r="O716" s="397"/>
      <c r="P716" s="397"/>
      <c r="Q716" s="397"/>
      <c r="R716" s="397"/>
      <c r="S716" s="397"/>
      <c r="T716" s="397"/>
      <c r="U716" s="397"/>
      <c r="V716" s="397"/>
      <c r="W716" s="397"/>
      <c r="X716" s="397"/>
      <c r="Y716" s="397"/>
      <c r="Z716" s="397"/>
      <c r="AA716" s="397"/>
    </row>
    <row r="717" spans="2:27" x14ac:dyDescent="0.25">
      <c r="B717">
        <v>56</v>
      </c>
      <c r="C717" s="397" t="str">
        <f>IF('0_Dades generals organització'!H108="","",'0_Dades generals organització'!H108)</f>
        <v/>
      </c>
      <c r="D717" s="397" t="str">
        <f>IF(C717="","",IF('0_Dades generals organització'!J108="no","",Dades!C717))</f>
        <v/>
      </c>
      <c r="E717" s="397" t="str">
        <f>IFERROR(INDEX($D$662:$D$911,MATCH(0,INDEX(COUNTIF($E$661:E716,$D$662:$D$911),),)),"")</f>
        <v/>
      </c>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row>
    <row r="718" spans="2:27" x14ac:dyDescent="0.25">
      <c r="B718">
        <v>57</v>
      </c>
      <c r="C718" s="397" t="str">
        <f>IF('0_Dades generals organització'!H109="","",'0_Dades generals organització'!H109)</f>
        <v/>
      </c>
      <c r="D718" s="397" t="str">
        <f>IF(C718="","",IF('0_Dades generals organització'!J109="no","",Dades!C718))</f>
        <v/>
      </c>
      <c r="E718" s="397" t="str">
        <f>IFERROR(INDEX($D$662:$D$911,MATCH(0,INDEX(COUNTIF($E$661:E717,$D$662:$D$911),),)),"")</f>
        <v/>
      </c>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row>
    <row r="719" spans="2:27" x14ac:dyDescent="0.25">
      <c r="B719">
        <v>58</v>
      </c>
      <c r="C719" s="397" t="str">
        <f>IF('0_Dades generals organització'!H110="","",'0_Dades generals organització'!H110)</f>
        <v/>
      </c>
      <c r="D719" s="397" t="str">
        <f>IF(C719="","",IF('0_Dades generals organització'!J110="no","",Dades!C719))</f>
        <v/>
      </c>
      <c r="E719" s="397" t="str">
        <f>IFERROR(INDEX($D$662:$D$911,MATCH(0,INDEX(COUNTIF($E$661:E718,$D$662:$D$911),),)),"")</f>
        <v/>
      </c>
      <c r="F719" s="397"/>
      <c r="G719" s="397"/>
      <c r="H719" s="397"/>
      <c r="I719" s="397"/>
      <c r="J719" s="397"/>
      <c r="K719" s="397"/>
      <c r="L719" s="397"/>
      <c r="M719" s="397"/>
      <c r="N719" s="397"/>
      <c r="O719" s="397"/>
      <c r="P719" s="397"/>
      <c r="Q719" s="397"/>
      <c r="R719" s="397"/>
      <c r="S719" s="397"/>
      <c r="T719" s="397"/>
      <c r="U719" s="397"/>
      <c r="V719" s="397"/>
      <c r="W719" s="397"/>
      <c r="X719" s="397"/>
      <c r="Y719" s="397"/>
      <c r="Z719" s="397"/>
      <c r="AA719" s="397"/>
    </row>
    <row r="720" spans="2:27" x14ac:dyDescent="0.25">
      <c r="B720">
        <v>59</v>
      </c>
      <c r="C720" s="397" t="str">
        <f>IF('0_Dades generals organització'!H111="","",'0_Dades generals organització'!H111)</f>
        <v/>
      </c>
      <c r="D720" s="397" t="str">
        <f>IF(C720="","",IF('0_Dades generals organització'!J111="no","",Dades!C720))</f>
        <v/>
      </c>
      <c r="E720" s="397" t="str">
        <f>IFERROR(INDEX($D$662:$D$911,MATCH(0,INDEX(COUNTIF($E$661:E719,$D$662:$D$911),),)),"")</f>
        <v/>
      </c>
      <c r="F720" s="397"/>
      <c r="G720" s="397"/>
      <c r="H720" s="397"/>
      <c r="I720" s="397"/>
      <c r="J720" s="397"/>
      <c r="K720" s="397"/>
      <c r="L720" s="397"/>
      <c r="M720" s="397"/>
      <c r="N720" s="397"/>
      <c r="O720" s="397"/>
      <c r="P720" s="397"/>
      <c r="Q720" s="397"/>
      <c r="R720" s="397"/>
      <c r="S720" s="397"/>
      <c r="T720" s="397"/>
      <c r="U720" s="397"/>
      <c r="V720" s="397"/>
      <c r="W720" s="397"/>
      <c r="X720" s="397"/>
      <c r="Y720" s="397"/>
      <c r="Z720" s="397"/>
      <c r="AA720" s="397"/>
    </row>
    <row r="721" spans="2:27" x14ac:dyDescent="0.25">
      <c r="B721">
        <v>60</v>
      </c>
      <c r="C721" s="397" t="str">
        <f>IF('0_Dades generals organització'!H112="","",'0_Dades generals organització'!H112)</f>
        <v/>
      </c>
      <c r="D721" s="397" t="str">
        <f>IF(C721="","",IF('0_Dades generals organització'!J112="no","",Dades!C721))</f>
        <v/>
      </c>
      <c r="E721" s="397" t="str">
        <f>IFERROR(INDEX($D$662:$D$911,MATCH(0,INDEX(COUNTIF($E$661:E720,$D$662:$D$911),),)),"")</f>
        <v/>
      </c>
      <c r="F721" s="397"/>
      <c r="G721" s="397"/>
      <c r="H721" s="397"/>
      <c r="I721" s="397"/>
      <c r="J721" s="397"/>
      <c r="K721" s="397"/>
      <c r="L721" s="397"/>
      <c r="M721" s="397"/>
      <c r="N721" s="397"/>
      <c r="O721" s="397"/>
      <c r="P721" s="397"/>
      <c r="Q721" s="397"/>
      <c r="R721" s="397"/>
      <c r="S721" s="397"/>
      <c r="T721" s="397"/>
      <c r="U721" s="397"/>
      <c r="V721" s="397"/>
      <c r="W721" s="397"/>
      <c r="X721" s="397"/>
      <c r="Y721" s="397"/>
      <c r="Z721" s="397"/>
      <c r="AA721" s="397"/>
    </row>
    <row r="722" spans="2:27" x14ac:dyDescent="0.25">
      <c r="B722">
        <v>61</v>
      </c>
      <c r="C722" s="397" t="str">
        <f>IF('0_Dades generals organització'!H113="","",'0_Dades generals organització'!H113)</f>
        <v/>
      </c>
      <c r="D722" s="397" t="str">
        <f>IF(C722="","",IF('0_Dades generals organització'!J113="no","",Dades!C722))</f>
        <v/>
      </c>
      <c r="E722" s="397" t="str">
        <f>IFERROR(INDEX($D$662:$D$911,MATCH(0,INDEX(COUNTIF($E$661:E721,$D$662:$D$911),),)),"")</f>
        <v/>
      </c>
      <c r="F722" s="397"/>
      <c r="G722" s="397"/>
      <c r="H722" s="397"/>
      <c r="I722" s="397"/>
      <c r="J722" s="397"/>
      <c r="K722" s="397"/>
      <c r="L722" s="397"/>
      <c r="M722" s="397"/>
      <c r="N722" s="397"/>
      <c r="O722" s="397"/>
      <c r="P722" s="397"/>
      <c r="Q722" s="397"/>
      <c r="R722" s="397"/>
      <c r="S722" s="397"/>
      <c r="T722" s="397"/>
      <c r="U722" s="397"/>
      <c r="V722" s="397"/>
      <c r="W722" s="397"/>
      <c r="X722" s="397"/>
      <c r="Y722" s="397"/>
      <c r="Z722" s="397"/>
      <c r="AA722" s="397"/>
    </row>
    <row r="723" spans="2:27" x14ac:dyDescent="0.25">
      <c r="B723">
        <v>62</v>
      </c>
      <c r="C723" s="397" t="str">
        <f>IF('0_Dades generals organització'!H114="","",'0_Dades generals organització'!H114)</f>
        <v/>
      </c>
      <c r="D723" s="397" t="str">
        <f>IF(C723="","",IF('0_Dades generals organització'!J114="no","",Dades!C723))</f>
        <v/>
      </c>
      <c r="E723" s="397" t="str">
        <f>IFERROR(INDEX($D$662:$D$911,MATCH(0,INDEX(COUNTIF($E$661:E722,$D$662:$D$911),),)),"")</f>
        <v/>
      </c>
      <c r="F723" s="397"/>
      <c r="G723" s="397"/>
      <c r="H723" s="397"/>
      <c r="I723" s="397"/>
      <c r="J723" s="397"/>
      <c r="K723" s="397"/>
      <c r="L723" s="397"/>
      <c r="M723" s="397"/>
      <c r="N723" s="397"/>
      <c r="O723" s="397"/>
      <c r="P723" s="397"/>
      <c r="Q723" s="397"/>
      <c r="R723" s="397"/>
      <c r="S723" s="397"/>
      <c r="T723" s="397"/>
      <c r="U723" s="397"/>
      <c r="V723" s="397"/>
      <c r="W723" s="397"/>
      <c r="X723" s="397"/>
      <c r="Y723" s="397"/>
      <c r="Z723" s="397"/>
      <c r="AA723" s="397"/>
    </row>
    <row r="724" spans="2:27" x14ac:dyDescent="0.25">
      <c r="B724">
        <v>63</v>
      </c>
      <c r="C724" s="397" t="str">
        <f>IF('0_Dades generals organització'!H115="","",'0_Dades generals organització'!H115)</f>
        <v/>
      </c>
      <c r="D724" s="397" t="str">
        <f>IF(C724="","",IF('0_Dades generals organització'!J115="no","",Dades!C724))</f>
        <v/>
      </c>
      <c r="E724" s="397" t="str">
        <f>IFERROR(INDEX($D$662:$D$911,MATCH(0,INDEX(COUNTIF($E$661:E723,$D$662:$D$911),),)),"")</f>
        <v/>
      </c>
      <c r="F724" s="397"/>
      <c r="G724" s="397"/>
      <c r="H724" s="397"/>
      <c r="I724" s="397"/>
      <c r="J724" s="397"/>
      <c r="K724" s="397"/>
      <c r="L724" s="397"/>
      <c r="M724" s="397"/>
      <c r="N724" s="397"/>
      <c r="O724" s="397"/>
      <c r="P724" s="397"/>
      <c r="Q724" s="397"/>
      <c r="R724" s="397"/>
      <c r="S724" s="397"/>
      <c r="T724" s="397"/>
      <c r="U724" s="397"/>
      <c r="V724" s="397"/>
      <c r="W724" s="397"/>
      <c r="X724" s="397"/>
      <c r="Y724" s="397"/>
      <c r="Z724" s="397"/>
      <c r="AA724" s="397"/>
    </row>
    <row r="725" spans="2:27" x14ac:dyDescent="0.25">
      <c r="B725">
        <v>64</v>
      </c>
      <c r="C725" s="397" t="str">
        <f>IF('0_Dades generals organització'!H116="","",'0_Dades generals organització'!H116)</f>
        <v/>
      </c>
      <c r="D725" s="397" t="str">
        <f>IF(C725="","",IF('0_Dades generals organització'!J116="no","",Dades!C725))</f>
        <v/>
      </c>
      <c r="E725" s="397" t="str">
        <f>IFERROR(INDEX($D$662:$D$911,MATCH(0,INDEX(COUNTIF($E$661:E724,$D$662:$D$911),),)),"")</f>
        <v/>
      </c>
      <c r="F725" s="397"/>
      <c r="G725" s="397"/>
      <c r="H725" s="397"/>
      <c r="I725" s="397"/>
      <c r="J725" s="397"/>
      <c r="K725" s="397"/>
      <c r="L725" s="397"/>
      <c r="M725" s="397"/>
      <c r="N725" s="397"/>
      <c r="O725" s="397"/>
      <c r="P725" s="397"/>
      <c r="Q725" s="397"/>
      <c r="R725" s="397"/>
      <c r="S725" s="397"/>
      <c r="T725" s="397"/>
      <c r="U725" s="397"/>
      <c r="V725" s="397"/>
      <c r="W725" s="397"/>
      <c r="X725" s="397"/>
      <c r="Y725" s="397"/>
      <c r="Z725" s="397"/>
      <c r="AA725" s="397"/>
    </row>
    <row r="726" spans="2:27" x14ac:dyDescent="0.25">
      <c r="B726">
        <v>65</v>
      </c>
      <c r="C726" s="397" t="str">
        <f>IF('0_Dades generals organització'!H117="","",'0_Dades generals organització'!H117)</f>
        <v/>
      </c>
      <c r="D726" s="397" t="str">
        <f>IF(C726="","",IF('0_Dades generals organització'!J117="no","",Dades!C726))</f>
        <v/>
      </c>
      <c r="E726" s="397" t="str">
        <f>IFERROR(INDEX($D$662:$D$911,MATCH(0,INDEX(COUNTIF($E$661:E725,$D$662:$D$911),),)),"")</f>
        <v/>
      </c>
      <c r="F726" s="397"/>
      <c r="G726" s="397"/>
      <c r="H726" s="397"/>
      <c r="I726" s="397"/>
      <c r="J726" s="397"/>
      <c r="K726" s="397"/>
      <c r="L726" s="397"/>
      <c r="M726" s="397"/>
      <c r="N726" s="397"/>
      <c r="O726" s="397"/>
      <c r="P726" s="397"/>
      <c r="Q726" s="397"/>
      <c r="R726" s="397"/>
      <c r="S726" s="397"/>
      <c r="T726" s="397"/>
      <c r="U726" s="397"/>
      <c r="V726" s="397"/>
      <c r="W726" s="397"/>
      <c r="X726" s="397"/>
      <c r="Y726" s="397"/>
      <c r="Z726" s="397"/>
      <c r="AA726" s="397"/>
    </row>
    <row r="727" spans="2:27" x14ac:dyDescent="0.25">
      <c r="B727">
        <v>66</v>
      </c>
      <c r="C727" s="397" t="str">
        <f>IF('0_Dades generals organització'!H118="","",'0_Dades generals organització'!H118)</f>
        <v/>
      </c>
      <c r="D727" s="397" t="str">
        <f>IF(C727="","",IF('0_Dades generals organització'!J118="no","",Dades!C727))</f>
        <v/>
      </c>
      <c r="E727" s="397" t="str">
        <f>IFERROR(INDEX($D$662:$D$911,MATCH(0,INDEX(COUNTIF($E$661:E726,$D$662:$D$911),),)),"")</f>
        <v/>
      </c>
      <c r="F727" s="397"/>
      <c r="G727" s="397"/>
      <c r="H727" s="397"/>
      <c r="I727" s="397"/>
      <c r="J727" s="397"/>
      <c r="K727" s="397"/>
      <c r="L727" s="397"/>
      <c r="M727" s="397"/>
      <c r="N727" s="397"/>
      <c r="O727" s="397"/>
      <c r="P727" s="397"/>
      <c r="Q727" s="397"/>
      <c r="R727" s="397"/>
      <c r="S727" s="397"/>
      <c r="T727" s="397"/>
      <c r="U727" s="397"/>
      <c r="V727" s="397"/>
      <c r="W727" s="397"/>
      <c r="X727" s="397"/>
      <c r="Y727" s="397"/>
      <c r="Z727" s="397"/>
      <c r="AA727" s="397"/>
    </row>
    <row r="728" spans="2:27" x14ac:dyDescent="0.25">
      <c r="B728">
        <v>67</v>
      </c>
      <c r="C728" s="397" t="str">
        <f>IF('0_Dades generals organització'!H119="","",'0_Dades generals organització'!H119)</f>
        <v/>
      </c>
      <c r="D728" s="397" t="str">
        <f>IF(C728="","",IF('0_Dades generals organització'!J119="no","",Dades!C728))</f>
        <v/>
      </c>
      <c r="E728" s="397" t="str">
        <f>IFERROR(INDEX($D$662:$D$911,MATCH(0,INDEX(COUNTIF($E$661:E727,$D$662:$D$911),),)),"")</f>
        <v/>
      </c>
      <c r="F728" s="397"/>
      <c r="G728" s="397"/>
      <c r="H728" s="397"/>
      <c r="I728" s="397"/>
      <c r="J728" s="397"/>
      <c r="K728" s="397"/>
      <c r="L728" s="397"/>
      <c r="M728" s="397"/>
      <c r="N728" s="397"/>
      <c r="O728" s="397"/>
      <c r="P728" s="397"/>
      <c r="Q728" s="397"/>
      <c r="R728" s="397"/>
      <c r="S728" s="397"/>
      <c r="T728" s="397"/>
      <c r="U728" s="397"/>
      <c r="V728" s="397"/>
      <c r="W728" s="397"/>
      <c r="X728" s="397"/>
      <c r="Y728" s="397"/>
      <c r="Z728" s="397"/>
      <c r="AA728" s="397"/>
    </row>
    <row r="729" spans="2:27" x14ac:dyDescent="0.25">
      <c r="B729">
        <v>68</v>
      </c>
      <c r="C729" s="397" t="str">
        <f>IF('0_Dades generals organització'!H120="","",'0_Dades generals organització'!H120)</f>
        <v/>
      </c>
      <c r="D729" s="397" t="str">
        <f>IF(C729="","",IF('0_Dades generals organització'!J120="no","",Dades!C729))</f>
        <v/>
      </c>
      <c r="E729" s="397" t="str">
        <f>IFERROR(INDEX($D$662:$D$911,MATCH(0,INDEX(COUNTIF($E$661:E728,$D$662:$D$911),),)),"")</f>
        <v/>
      </c>
      <c r="F729" s="397"/>
      <c r="G729" s="397"/>
      <c r="H729" s="397"/>
      <c r="I729" s="397"/>
      <c r="J729" s="397"/>
      <c r="K729" s="397"/>
      <c r="L729" s="397"/>
      <c r="M729" s="397"/>
      <c r="N729" s="397"/>
      <c r="O729" s="397"/>
      <c r="P729" s="397"/>
      <c r="Q729" s="397"/>
      <c r="R729" s="397"/>
      <c r="S729" s="397"/>
      <c r="T729" s="397"/>
      <c r="U729" s="397"/>
      <c r="V729" s="397"/>
      <c r="W729" s="397"/>
      <c r="X729" s="397"/>
      <c r="Y729" s="397"/>
      <c r="Z729" s="397"/>
      <c r="AA729" s="397"/>
    </row>
    <row r="730" spans="2:27" x14ac:dyDescent="0.25">
      <c r="B730">
        <v>69</v>
      </c>
      <c r="C730" s="397" t="str">
        <f>IF('0_Dades generals organització'!H121="","",'0_Dades generals organització'!H121)</f>
        <v/>
      </c>
      <c r="D730" s="397" t="str">
        <f>IF(C730="","",IF('0_Dades generals organització'!J121="no","",Dades!C730))</f>
        <v/>
      </c>
      <c r="E730" s="397" t="str">
        <f>IFERROR(INDEX($D$662:$D$911,MATCH(0,INDEX(COUNTIF($E$661:E729,$D$662:$D$911),),)),"")</f>
        <v/>
      </c>
      <c r="F730" s="397"/>
      <c r="G730" s="397"/>
      <c r="H730" s="397"/>
      <c r="I730" s="397"/>
      <c r="J730" s="397"/>
      <c r="K730" s="397"/>
      <c r="L730" s="397"/>
      <c r="M730" s="397"/>
      <c r="N730" s="397"/>
      <c r="O730" s="397"/>
      <c r="P730" s="397"/>
      <c r="Q730" s="397"/>
      <c r="R730" s="397"/>
      <c r="S730" s="397"/>
      <c r="T730" s="397"/>
      <c r="U730" s="397"/>
      <c r="V730" s="397"/>
      <c r="W730" s="397"/>
      <c r="X730" s="397"/>
      <c r="Y730" s="397"/>
      <c r="Z730" s="397"/>
      <c r="AA730" s="397"/>
    </row>
    <row r="731" spans="2:27" x14ac:dyDescent="0.25">
      <c r="B731">
        <v>70</v>
      </c>
      <c r="C731" s="397" t="str">
        <f>IF('0_Dades generals organització'!H122="","",'0_Dades generals organització'!H122)</f>
        <v/>
      </c>
      <c r="D731" s="397" t="str">
        <f>IF(C731="","",IF('0_Dades generals organització'!J122="no","",Dades!C731))</f>
        <v/>
      </c>
      <c r="E731" s="397" t="str">
        <f>IFERROR(INDEX($D$662:$D$911,MATCH(0,INDEX(COUNTIF($E$661:E730,$D$662:$D$911),),)),"")</f>
        <v/>
      </c>
      <c r="F731" s="397"/>
      <c r="G731" s="397"/>
      <c r="H731" s="397"/>
      <c r="I731" s="397"/>
      <c r="J731" s="397"/>
      <c r="K731" s="397"/>
      <c r="L731" s="397"/>
      <c r="M731" s="397"/>
      <c r="N731" s="397"/>
      <c r="O731" s="397"/>
      <c r="P731" s="397"/>
      <c r="Q731" s="397"/>
      <c r="R731" s="397"/>
      <c r="S731" s="397"/>
      <c r="T731" s="397"/>
      <c r="U731" s="397"/>
      <c r="V731" s="397"/>
      <c r="W731" s="397"/>
      <c r="X731" s="397"/>
      <c r="Y731" s="397"/>
      <c r="Z731" s="397"/>
      <c r="AA731" s="397"/>
    </row>
    <row r="732" spans="2:27" x14ac:dyDescent="0.25">
      <c r="B732">
        <v>71</v>
      </c>
      <c r="C732" s="397" t="str">
        <f>IF('0_Dades generals organització'!H123="","",'0_Dades generals organització'!H123)</f>
        <v/>
      </c>
      <c r="D732" s="397" t="str">
        <f>IF(C732="","",IF('0_Dades generals organització'!J123="no","",Dades!C732))</f>
        <v/>
      </c>
      <c r="E732" s="397" t="str">
        <f>IFERROR(INDEX($D$662:$D$911,MATCH(0,INDEX(COUNTIF($E$661:E731,$D$662:$D$911),),)),"")</f>
        <v/>
      </c>
      <c r="F732" s="397"/>
      <c r="G732" s="397"/>
      <c r="H732" s="397"/>
      <c r="I732" s="397"/>
      <c r="J732" s="397"/>
      <c r="K732" s="397"/>
      <c r="L732" s="397"/>
      <c r="M732" s="397"/>
      <c r="N732" s="397"/>
      <c r="O732" s="397"/>
      <c r="P732" s="397"/>
      <c r="Q732" s="397"/>
      <c r="R732" s="397"/>
      <c r="S732" s="397"/>
      <c r="T732" s="397"/>
      <c r="U732" s="397"/>
      <c r="V732" s="397"/>
      <c r="W732" s="397"/>
      <c r="X732" s="397"/>
      <c r="Y732" s="397"/>
      <c r="Z732" s="397"/>
      <c r="AA732" s="397"/>
    </row>
    <row r="733" spans="2:27" x14ac:dyDescent="0.25">
      <c r="B733">
        <v>72</v>
      </c>
      <c r="C733" s="397" t="str">
        <f>IF('0_Dades generals organització'!H124="","",'0_Dades generals organització'!H124)</f>
        <v/>
      </c>
      <c r="D733" s="397" t="str">
        <f>IF(C733="","",IF('0_Dades generals organització'!J124="no","",Dades!C733))</f>
        <v/>
      </c>
      <c r="E733" s="397" t="str">
        <f>IFERROR(INDEX($D$662:$D$911,MATCH(0,INDEX(COUNTIF($E$661:E732,$D$662:$D$911),),)),"")</f>
        <v/>
      </c>
      <c r="F733" s="397"/>
      <c r="G733" s="397"/>
      <c r="H733" s="397"/>
      <c r="I733" s="397"/>
      <c r="J733" s="397"/>
      <c r="K733" s="397"/>
      <c r="L733" s="397"/>
      <c r="M733" s="397"/>
      <c r="N733" s="397"/>
      <c r="O733" s="397"/>
      <c r="P733" s="397"/>
      <c r="Q733" s="397"/>
      <c r="R733" s="397"/>
      <c r="S733" s="397"/>
      <c r="T733" s="397"/>
      <c r="U733" s="397"/>
      <c r="V733" s="397"/>
      <c r="W733" s="397"/>
      <c r="X733" s="397"/>
      <c r="Y733" s="397"/>
      <c r="Z733" s="397"/>
      <c r="AA733" s="397"/>
    </row>
    <row r="734" spans="2:27" x14ac:dyDescent="0.25">
      <c r="B734">
        <v>73</v>
      </c>
      <c r="C734" s="397" t="str">
        <f>IF('0_Dades generals organització'!H125="","",'0_Dades generals organització'!H125)</f>
        <v/>
      </c>
      <c r="D734" s="397" t="str">
        <f>IF(C734="","",IF('0_Dades generals organització'!J125="no","",Dades!C734))</f>
        <v/>
      </c>
      <c r="E734" s="397" t="str">
        <f>IFERROR(INDEX($D$662:$D$911,MATCH(0,INDEX(COUNTIF($E$661:E733,$D$662:$D$911),),)),"")</f>
        <v/>
      </c>
      <c r="F734" s="397"/>
      <c r="G734" s="397"/>
      <c r="H734" s="397"/>
      <c r="I734" s="397"/>
      <c r="J734" s="397"/>
      <c r="K734" s="397"/>
      <c r="L734" s="397"/>
      <c r="M734" s="397"/>
      <c r="N734" s="397"/>
      <c r="O734" s="397"/>
      <c r="P734" s="397"/>
      <c r="Q734" s="397"/>
      <c r="R734" s="397"/>
      <c r="S734" s="397"/>
      <c r="T734" s="397"/>
      <c r="U734" s="397"/>
      <c r="V734" s="397"/>
      <c r="W734" s="397"/>
      <c r="X734" s="397"/>
      <c r="Y734" s="397"/>
      <c r="Z734" s="397"/>
      <c r="AA734" s="397"/>
    </row>
    <row r="735" spans="2:27" x14ac:dyDescent="0.25">
      <c r="B735">
        <v>74</v>
      </c>
      <c r="C735" s="397" t="str">
        <f>IF('0_Dades generals organització'!H126="","",'0_Dades generals organització'!H126)</f>
        <v/>
      </c>
      <c r="D735" s="397" t="str">
        <f>IF(C735="","",IF('0_Dades generals organització'!J126="no","",Dades!C735))</f>
        <v/>
      </c>
      <c r="E735" s="397" t="str">
        <f>IFERROR(INDEX($D$662:$D$911,MATCH(0,INDEX(COUNTIF($E$661:E734,$D$662:$D$911),),)),"")</f>
        <v/>
      </c>
      <c r="F735" s="397"/>
      <c r="G735" s="397"/>
      <c r="H735" s="397"/>
      <c r="I735" s="397"/>
      <c r="J735" s="397"/>
      <c r="K735" s="397"/>
      <c r="L735" s="397"/>
      <c r="M735" s="397"/>
      <c r="N735" s="397"/>
      <c r="O735" s="397"/>
      <c r="P735" s="397"/>
      <c r="Q735" s="397"/>
      <c r="R735" s="397"/>
      <c r="S735" s="397"/>
      <c r="T735" s="397"/>
      <c r="U735" s="397"/>
      <c r="V735" s="397"/>
      <c r="W735" s="397"/>
      <c r="X735" s="397"/>
      <c r="Y735" s="397"/>
      <c r="Z735" s="397"/>
      <c r="AA735" s="397"/>
    </row>
    <row r="736" spans="2:27" x14ac:dyDescent="0.25">
      <c r="B736">
        <v>75</v>
      </c>
      <c r="C736" s="397" t="str">
        <f>IF('0_Dades generals organització'!H127="","",'0_Dades generals organització'!H127)</f>
        <v/>
      </c>
      <c r="D736" s="397" t="str">
        <f>IF(C736="","",IF('0_Dades generals organització'!J127="no","",Dades!C736))</f>
        <v/>
      </c>
      <c r="E736" s="397" t="str">
        <f>IFERROR(INDEX($D$662:$D$911,MATCH(0,INDEX(COUNTIF($E$661:E735,$D$662:$D$911),),)),"")</f>
        <v/>
      </c>
      <c r="F736" s="397"/>
      <c r="G736" s="397"/>
      <c r="H736" s="397"/>
      <c r="I736" s="397"/>
      <c r="J736" s="397"/>
      <c r="K736" s="397"/>
      <c r="L736" s="397"/>
      <c r="M736" s="397"/>
      <c r="N736" s="397"/>
      <c r="O736" s="397"/>
      <c r="P736" s="397"/>
      <c r="Q736" s="397"/>
      <c r="R736" s="397"/>
      <c r="S736" s="397"/>
      <c r="T736" s="397"/>
      <c r="U736" s="397"/>
      <c r="V736" s="397"/>
      <c r="W736" s="397"/>
      <c r="X736" s="397"/>
      <c r="Y736" s="397"/>
      <c r="Z736" s="397"/>
      <c r="AA736" s="397"/>
    </row>
    <row r="737" spans="2:27" x14ac:dyDescent="0.25">
      <c r="B737">
        <v>76</v>
      </c>
      <c r="C737" s="397" t="str">
        <f>IF('0_Dades generals organització'!H128="","",'0_Dades generals organització'!H128)</f>
        <v/>
      </c>
      <c r="D737" s="397" t="str">
        <f>IF(C737="","",IF('0_Dades generals organització'!J128="no","",Dades!C737))</f>
        <v/>
      </c>
      <c r="E737" s="397" t="str">
        <f>IFERROR(INDEX($D$662:$D$911,MATCH(0,INDEX(COUNTIF($E$661:E736,$D$662:$D$911),),)),"")</f>
        <v/>
      </c>
      <c r="F737" s="397"/>
      <c r="G737" s="397"/>
      <c r="H737" s="397"/>
      <c r="I737" s="397"/>
      <c r="J737" s="397"/>
      <c r="K737" s="397"/>
      <c r="L737" s="397"/>
      <c r="M737" s="397"/>
      <c r="N737" s="397"/>
      <c r="O737" s="397"/>
      <c r="P737" s="397"/>
      <c r="Q737" s="397"/>
      <c r="R737" s="397"/>
      <c r="S737" s="397"/>
      <c r="T737" s="397"/>
      <c r="U737" s="397"/>
      <c r="V737" s="397"/>
      <c r="W737" s="397"/>
      <c r="X737" s="397"/>
      <c r="Y737" s="397"/>
      <c r="Z737" s="397"/>
      <c r="AA737" s="397"/>
    </row>
    <row r="738" spans="2:27" x14ac:dyDescent="0.25">
      <c r="B738">
        <v>77</v>
      </c>
      <c r="C738" s="397" t="str">
        <f>IF('0_Dades generals organització'!H129="","",'0_Dades generals organització'!H129)</f>
        <v/>
      </c>
      <c r="D738" s="397" t="str">
        <f>IF(C738="","",IF('0_Dades generals organització'!J129="no","",Dades!C738))</f>
        <v/>
      </c>
      <c r="E738" s="397" t="str">
        <f>IFERROR(INDEX($D$662:$D$911,MATCH(0,INDEX(COUNTIF($E$661:E737,$D$662:$D$911),),)),"")</f>
        <v/>
      </c>
      <c r="F738" s="397"/>
      <c r="G738" s="397"/>
      <c r="H738" s="397"/>
      <c r="I738" s="397"/>
      <c r="J738" s="397"/>
      <c r="K738" s="397"/>
      <c r="L738" s="397"/>
      <c r="M738" s="397"/>
      <c r="N738" s="397"/>
      <c r="O738" s="397"/>
      <c r="P738" s="397"/>
      <c r="Q738" s="397"/>
      <c r="R738" s="397"/>
      <c r="S738" s="397"/>
      <c r="T738" s="397"/>
      <c r="U738" s="397"/>
      <c r="V738" s="397"/>
      <c r="W738" s="397"/>
      <c r="X738" s="397"/>
      <c r="Y738" s="397"/>
      <c r="Z738" s="397"/>
      <c r="AA738" s="397"/>
    </row>
    <row r="739" spans="2:27" x14ac:dyDescent="0.25">
      <c r="B739">
        <v>78</v>
      </c>
      <c r="C739" s="397" t="str">
        <f>IF('0_Dades generals organització'!H130="","",'0_Dades generals organització'!H130)</f>
        <v/>
      </c>
      <c r="D739" s="397" t="str">
        <f>IF(C739="","",IF('0_Dades generals organització'!J130="no","",Dades!C739))</f>
        <v/>
      </c>
      <c r="E739" s="397" t="str">
        <f>IFERROR(INDEX($D$662:$D$911,MATCH(0,INDEX(COUNTIF($E$661:E738,$D$662:$D$911),),)),"")</f>
        <v/>
      </c>
      <c r="F739" s="397"/>
      <c r="G739" s="397"/>
      <c r="H739" s="397"/>
      <c r="I739" s="397"/>
      <c r="J739" s="397"/>
      <c r="K739" s="397"/>
      <c r="L739" s="397"/>
      <c r="M739" s="397"/>
      <c r="N739" s="397"/>
      <c r="O739" s="397"/>
      <c r="P739" s="397"/>
      <c r="Q739" s="397"/>
      <c r="R739" s="397"/>
      <c r="S739" s="397"/>
      <c r="T739" s="397"/>
      <c r="U739" s="397"/>
      <c r="V739" s="397"/>
      <c r="W739" s="397"/>
      <c r="X739" s="397"/>
      <c r="Y739" s="397"/>
      <c r="Z739" s="397"/>
      <c r="AA739" s="397"/>
    </row>
    <row r="740" spans="2:27" x14ac:dyDescent="0.25">
      <c r="B740">
        <v>79</v>
      </c>
      <c r="C740" s="397" t="str">
        <f>IF('0_Dades generals organització'!H131="","",'0_Dades generals organització'!H131)</f>
        <v/>
      </c>
      <c r="D740" s="397" t="str">
        <f>IF(C740="","",IF('0_Dades generals organització'!J131="no","",Dades!C740))</f>
        <v/>
      </c>
      <c r="E740" s="397" t="str">
        <f>IFERROR(INDEX($D$662:$D$911,MATCH(0,INDEX(COUNTIF($E$661:E739,$D$662:$D$911),),)),"")</f>
        <v/>
      </c>
      <c r="F740" s="397"/>
      <c r="G740" s="397"/>
      <c r="H740" s="397"/>
      <c r="I740" s="397"/>
      <c r="J740" s="397"/>
      <c r="K740" s="397"/>
      <c r="L740" s="397"/>
      <c r="M740" s="397"/>
      <c r="N740" s="397"/>
      <c r="O740" s="397"/>
      <c r="P740" s="397"/>
      <c r="Q740" s="397"/>
      <c r="R740" s="397"/>
      <c r="S740" s="397"/>
      <c r="T740" s="397"/>
      <c r="U740" s="397"/>
      <c r="V740" s="397"/>
      <c r="W740" s="397"/>
      <c r="X740" s="397"/>
      <c r="Y740" s="397"/>
      <c r="Z740" s="397"/>
      <c r="AA740" s="397"/>
    </row>
    <row r="741" spans="2:27" x14ac:dyDescent="0.25">
      <c r="B741">
        <v>80</v>
      </c>
      <c r="C741" s="397" t="str">
        <f>IF('0_Dades generals organització'!H132="","",'0_Dades generals organització'!H132)</f>
        <v/>
      </c>
      <c r="D741" s="397" t="str">
        <f>IF(C741="","",IF('0_Dades generals organització'!J132="no","",Dades!C741))</f>
        <v/>
      </c>
      <c r="E741" s="397" t="str">
        <f>IFERROR(INDEX($D$662:$D$911,MATCH(0,INDEX(COUNTIF($E$661:E740,$D$662:$D$911),),)),"")</f>
        <v/>
      </c>
      <c r="F741" s="397"/>
      <c r="G741" s="397"/>
      <c r="H741" s="397"/>
      <c r="I741" s="397"/>
      <c r="J741" s="397"/>
      <c r="K741" s="397"/>
      <c r="L741" s="397"/>
      <c r="M741" s="397"/>
      <c r="N741" s="397"/>
      <c r="O741" s="397"/>
      <c r="P741" s="397"/>
      <c r="Q741" s="397"/>
      <c r="R741" s="397"/>
      <c r="S741" s="397"/>
      <c r="T741" s="397"/>
      <c r="U741" s="397"/>
      <c r="V741" s="397"/>
      <c r="W741" s="397"/>
      <c r="X741" s="397"/>
      <c r="Y741" s="397"/>
      <c r="Z741" s="397"/>
      <c r="AA741" s="397"/>
    </row>
    <row r="742" spans="2:27" x14ac:dyDescent="0.25">
      <c r="B742">
        <v>81</v>
      </c>
      <c r="C742" s="397" t="str">
        <f>IF('0_Dades generals organització'!H133="","",'0_Dades generals organització'!H133)</f>
        <v/>
      </c>
      <c r="D742" s="397" t="str">
        <f>IF(C742="","",IF('0_Dades generals organització'!J133="no","",Dades!C742))</f>
        <v/>
      </c>
      <c r="E742" s="397" t="str">
        <f>IFERROR(INDEX($D$662:$D$911,MATCH(0,INDEX(COUNTIF($E$661:E741,$D$662:$D$911),),)),"")</f>
        <v/>
      </c>
      <c r="F742" s="397"/>
      <c r="G742" s="397"/>
      <c r="H742" s="397"/>
      <c r="I742" s="397"/>
      <c r="J742" s="397"/>
      <c r="K742" s="397"/>
      <c r="L742" s="397"/>
      <c r="M742" s="397"/>
      <c r="N742" s="397"/>
      <c r="O742" s="397"/>
      <c r="P742" s="397"/>
      <c r="Q742" s="397"/>
      <c r="R742" s="397"/>
      <c r="S742" s="397"/>
      <c r="T742" s="397"/>
      <c r="U742" s="397"/>
      <c r="V742" s="397"/>
      <c r="W742" s="397"/>
      <c r="X742" s="397"/>
      <c r="Y742" s="397"/>
      <c r="Z742" s="397"/>
      <c r="AA742" s="397"/>
    </row>
    <row r="743" spans="2:27" x14ac:dyDescent="0.25">
      <c r="B743">
        <v>82</v>
      </c>
      <c r="C743" s="397" t="str">
        <f>IF('0_Dades generals organització'!H134="","",'0_Dades generals organització'!H134)</f>
        <v/>
      </c>
      <c r="D743" s="397" t="str">
        <f>IF(C743="","",IF('0_Dades generals organització'!J134="no","",Dades!C743))</f>
        <v/>
      </c>
      <c r="E743" s="397" t="str">
        <f>IFERROR(INDEX($D$662:$D$911,MATCH(0,INDEX(COUNTIF($E$661:E742,$D$662:$D$911),),)),"")</f>
        <v/>
      </c>
      <c r="F743" s="397"/>
      <c r="G743" s="397"/>
      <c r="H743" s="397"/>
      <c r="I743" s="397"/>
      <c r="J743" s="397"/>
      <c r="K743" s="397"/>
      <c r="L743" s="397"/>
      <c r="M743" s="397"/>
      <c r="N743" s="397"/>
      <c r="O743" s="397"/>
      <c r="P743" s="397"/>
      <c r="Q743" s="397"/>
      <c r="R743" s="397"/>
      <c r="S743" s="397"/>
      <c r="T743" s="397"/>
      <c r="U743" s="397"/>
      <c r="V743" s="397"/>
      <c r="W743" s="397"/>
      <c r="X743" s="397"/>
      <c r="Y743" s="397"/>
      <c r="Z743" s="397"/>
      <c r="AA743" s="397"/>
    </row>
    <row r="744" spans="2:27" x14ac:dyDescent="0.25">
      <c r="B744">
        <v>83</v>
      </c>
      <c r="C744" s="397" t="str">
        <f>IF('0_Dades generals organització'!H135="","",'0_Dades generals organització'!H135)</f>
        <v/>
      </c>
      <c r="D744" s="397" t="str">
        <f>IF(C744="","",IF('0_Dades generals organització'!J135="no","",Dades!C744))</f>
        <v/>
      </c>
      <c r="E744" s="397" t="str">
        <f>IFERROR(INDEX($D$662:$D$911,MATCH(0,INDEX(COUNTIF($E$661:E743,$D$662:$D$911),),)),"")</f>
        <v/>
      </c>
      <c r="F744" s="397"/>
      <c r="G744" s="397"/>
      <c r="H744" s="397"/>
      <c r="I744" s="397"/>
      <c r="J744" s="397"/>
      <c r="K744" s="397"/>
      <c r="L744" s="397"/>
      <c r="M744" s="397"/>
      <c r="N744" s="397"/>
      <c r="O744" s="397"/>
      <c r="P744" s="397"/>
      <c r="Q744" s="397"/>
      <c r="R744" s="397"/>
      <c r="S744" s="397"/>
      <c r="T744" s="397"/>
      <c r="U744" s="397"/>
      <c r="V744" s="397"/>
      <c r="W744" s="397"/>
      <c r="X744" s="397"/>
      <c r="Y744" s="397"/>
      <c r="Z744" s="397"/>
      <c r="AA744" s="397"/>
    </row>
    <row r="745" spans="2:27" x14ac:dyDescent="0.25">
      <c r="B745">
        <v>84</v>
      </c>
      <c r="C745" s="397" t="str">
        <f>IF('0_Dades generals organització'!H136="","",'0_Dades generals organització'!H136)</f>
        <v/>
      </c>
      <c r="D745" s="397" t="str">
        <f>IF(C745="","",IF('0_Dades generals organització'!J136="no","",Dades!C745))</f>
        <v/>
      </c>
      <c r="E745" s="397" t="str">
        <f>IFERROR(INDEX($D$662:$D$911,MATCH(0,INDEX(COUNTIF($E$661:E744,$D$662:$D$911),),)),"")</f>
        <v/>
      </c>
      <c r="F745" s="397"/>
      <c r="G745" s="397"/>
      <c r="H745" s="397"/>
      <c r="I745" s="397"/>
      <c r="J745" s="397"/>
      <c r="K745" s="397"/>
      <c r="L745" s="397"/>
      <c r="M745" s="397"/>
      <c r="N745" s="397"/>
      <c r="O745" s="397"/>
      <c r="P745" s="397"/>
      <c r="Q745" s="397"/>
      <c r="R745" s="397"/>
      <c r="S745" s="397"/>
      <c r="T745" s="397"/>
      <c r="U745" s="397"/>
      <c r="V745" s="397"/>
      <c r="W745" s="397"/>
      <c r="X745" s="397"/>
      <c r="Y745" s="397"/>
      <c r="Z745" s="397"/>
      <c r="AA745" s="397"/>
    </row>
    <row r="746" spans="2:27" x14ac:dyDescent="0.25">
      <c r="B746">
        <v>85</v>
      </c>
      <c r="C746" s="397" t="str">
        <f>IF('0_Dades generals organització'!H137="","",'0_Dades generals organització'!H137)</f>
        <v/>
      </c>
      <c r="D746" s="397" t="str">
        <f>IF(C746="","",IF('0_Dades generals organització'!J137="no","",Dades!C746))</f>
        <v/>
      </c>
      <c r="E746" s="397" t="str">
        <f>IFERROR(INDEX($D$662:$D$911,MATCH(0,INDEX(COUNTIF($E$661:E745,$D$662:$D$911),),)),"")</f>
        <v/>
      </c>
      <c r="F746" s="397"/>
      <c r="G746" s="397"/>
      <c r="H746" s="397"/>
      <c r="I746" s="397"/>
      <c r="J746" s="397"/>
      <c r="K746" s="397"/>
      <c r="L746" s="397"/>
      <c r="M746" s="397"/>
      <c r="N746" s="397"/>
      <c r="O746" s="397"/>
      <c r="P746" s="397"/>
      <c r="Q746" s="397"/>
      <c r="R746" s="397"/>
      <c r="S746" s="397"/>
      <c r="T746" s="397"/>
      <c r="U746" s="397"/>
      <c r="V746" s="397"/>
      <c r="W746" s="397"/>
      <c r="X746" s="397"/>
      <c r="Y746" s="397"/>
      <c r="Z746" s="397"/>
      <c r="AA746" s="397"/>
    </row>
    <row r="747" spans="2:27" x14ac:dyDescent="0.25">
      <c r="B747">
        <v>86</v>
      </c>
      <c r="C747" s="397" t="str">
        <f>IF('0_Dades generals organització'!H138="","",'0_Dades generals organització'!H138)</f>
        <v/>
      </c>
      <c r="D747" s="397" t="str">
        <f>IF(C747="","",IF('0_Dades generals organització'!J138="no","",Dades!C747))</f>
        <v/>
      </c>
      <c r="E747" s="397" t="str">
        <f>IFERROR(INDEX($D$662:$D$911,MATCH(0,INDEX(COUNTIF($E$661:E746,$D$662:$D$911),),)),"")</f>
        <v/>
      </c>
      <c r="F747" s="397"/>
      <c r="G747" s="397"/>
      <c r="H747" s="397"/>
      <c r="I747" s="397"/>
      <c r="J747" s="397"/>
      <c r="K747" s="397"/>
      <c r="L747" s="397"/>
      <c r="M747" s="397"/>
      <c r="N747" s="397"/>
      <c r="O747" s="397"/>
      <c r="P747" s="397"/>
      <c r="Q747" s="397"/>
      <c r="R747" s="397"/>
      <c r="S747" s="397"/>
      <c r="T747" s="397"/>
      <c r="U747" s="397"/>
      <c r="V747" s="397"/>
      <c r="W747" s="397"/>
      <c r="X747" s="397"/>
      <c r="Y747" s="397"/>
      <c r="Z747" s="397"/>
      <c r="AA747" s="397"/>
    </row>
    <row r="748" spans="2:27" x14ac:dyDescent="0.25">
      <c r="B748">
        <v>87</v>
      </c>
      <c r="C748" s="397" t="str">
        <f>IF('0_Dades generals organització'!H139="","",'0_Dades generals organització'!H139)</f>
        <v/>
      </c>
      <c r="D748" s="397" t="str">
        <f>IF(C748="","",IF('0_Dades generals organització'!J139="no","",Dades!C748))</f>
        <v/>
      </c>
      <c r="E748" s="397" t="str">
        <f>IFERROR(INDEX($D$662:$D$911,MATCH(0,INDEX(COUNTIF($E$661:E747,$D$662:$D$911),),)),"")</f>
        <v/>
      </c>
      <c r="F748" s="397"/>
      <c r="G748" s="397"/>
      <c r="H748" s="397"/>
      <c r="I748" s="397"/>
      <c r="J748" s="397"/>
      <c r="K748" s="397"/>
      <c r="L748" s="397"/>
      <c r="M748" s="397"/>
      <c r="N748" s="397"/>
      <c r="O748" s="397"/>
      <c r="P748" s="397"/>
      <c r="Q748" s="397"/>
      <c r="R748" s="397"/>
      <c r="S748" s="397"/>
      <c r="T748" s="397"/>
      <c r="U748" s="397"/>
      <c r="V748" s="397"/>
      <c r="W748" s="397"/>
      <c r="X748" s="397"/>
      <c r="Y748" s="397"/>
      <c r="Z748" s="397"/>
      <c r="AA748" s="397"/>
    </row>
    <row r="749" spans="2:27" x14ac:dyDescent="0.25">
      <c r="B749">
        <v>88</v>
      </c>
      <c r="C749" s="397" t="str">
        <f>IF('0_Dades generals organització'!H140="","",'0_Dades generals organització'!H140)</f>
        <v/>
      </c>
      <c r="D749" s="397" t="str">
        <f>IF(C749="","",IF('0_Dades generals organització'!J140="no","",Dades!C749))</f>
        <v/>
      </c>
      <c r="E749" s="397" t="str">
        <f>IFERROR(INDEX($D$662:$D$911,MATCH(0,INDEX(COUNTIF($E$661:E748,$D$662:$D$911),),)),"")</f>
        <v/>
      </c>
      <c r="F749" s="397"/>
      <c r="G749" s="397"/>
      <c r="H749" s="397"/>
      <c r="I749" s="397"/>
      <c r="J749" s="397"/>
      <c r="K749" s="397"/>
      <c r="L749" s="397"/>
      <c r="M749" s="397"/>
      <c r="N749" s="397"/>
      <c r="O749" s="397"/>
      <c r="P749" s="397"/>
      <c r="Q749" s="397"/>
      <c r="R749" s="397"/>
      <c r="S749" s="397"/>
      <c r="T749" s="397"/>
      <c r="U749" s="397"/>
      <c r="V749" s="397"/>
      <c r="W749" s="397"/>
      <c r="X749" s="397"/>
      <c r="Y749" s="397"/>
      <c r="Z749" s="397"/>
      <c r="AA749" s="397"/>
    </row>
    <row r="750" spans="2:27" x14ac:dyDescent="0.25">
      <c r="B750">
        <v>89</v>
      </c>
      <c r="C750" s="397" t="str">
        <f>IF('0_Dades generals organització'!H141="","",'0_Dades generals organització'!H141)</f>
        <v/>
      </c>
      <c r="D750" s="397" t="str">
        <f>IF(C750="","",IF('0_Dades generals organització'!J141="no","",Dades!C750))</f>
        <v/>
      </c>
      <c r="E750" s="397" t="str">
        <f>IFERROR(INDEX($D$662:$D$911,MATCH(0,INDEX(COUNTIF($E$661:E749,$D$662:$D$911),),)),"")</f>
        <v/>
      </c>
      <c r="F750" s="397"/>
      <c r="G750" s="397"/>
      <c r="H750" s="397"/>
      <c r="I750" s="397"/>
      <c r="J750" s="397"/>
      <c r="K750" s="397"/>
      <c r="L750" s="397"/>
      <c r="M750" s="397"/>
      <c r="N750" s="397"/>
      <c r="O750" s="397"/>
      <c r="P750" s="397"/>
      <c r="Q750" s="397"/>
      <c r="R750" s="397"/>
      <c r="S750" s="397"/>
      <c r="T750" s="397"/>
      <c r="U750" s="397"/>
      <c r="V750" s="397"/>
      <c r="W750" s="397"/>
      <c r="X750" s="397"/>
      <c r="Y750" s="397"/>
      <c r="Z750" s="397"/>
      <c r="AA750" s="397"/>
    </row>
    <row r="751" spans="2:27" x14ac:dyDescent="0.25">
      <c r="B751">
        <v>90</v>
      </c>
      <c r="C751" s="397" t="str">
        <f>IF('0_Dades generals organització'!H142="","",'0_Dades generals organització'!H142)</f>
        <v/>
      </c>
      <c r="D751" s="397" t="str">
        <f>IF(C751="","",IF('0_Dades generals organització'!J142="no","",Dades!C751))</f>
        <v/>
      </c>
      <c r="E751" s="397" t="str">
        <f>IFERROR(INDEX($D$662:$D$911,MATCH(0,INDEX(COUNTIF($E$661:E750,$D$662:$D$911),),)),"")</f>
        <v/>
      </c>
      <c r="F751" s="397"/>
      <c r="G751" s="397"/>
      <c r="H751" s="397"/>
      <c r="I751" s="397"/>
      <c r="J751" s="397"/>
      <c r="K751" s="397"/>
      <c r="L751" s="397"/>
      <c r="M751" s="397"/>
      <c r="N751" s="397"/>
      <c r="O751" s="397"/>
      <c r="P751" s="397"/>
      <c r="Q751" s="397"/>
      <c r="R751" s="397"/>
      <c r="S751" s="397"/>
      <c r="T751" s="397"/>
      <c r="U751" s="397"/>
      <c r="V751" s="397"/>
      <c r="W751" s="397"/>
      <c r="X751" s="397"/>
      <c r="Y751" s="397"/>
      <c r="Z751" s="397"/>
      <c r="AA751" s="397"/>
    </row>
    <row r="752" spans="2:27" x14ac:dyDescent="0.25">
      <c r="B752">
        <v>91</v>
      </c>
      <c r="C752" s="397" t="str">
        <f>IF('0_Dades generals organització'!H143="","",'0_Dades generals organització'!H143)</f>
        <v/>
      </c>
      <c r="D752" s="397" t="str">
        <f>IF(C752="","",IF('0_Dades generals organització'!J143="no","",Dades!C752))</f>
        <v/>
      </c>
      <c r="E752" s="397" t="str">
        <f>IFERROR(INDEX($D$662:$D$911,MATCH(0,INDEX(COUNTIF($E$661:E751,$D$662:$D$911),),)),"")</f>
        <v/>
      </c>
      <c r="F752" s="397"/>
      <c r="G752" s="397"/>
      <c r="H752" s="397"/>
      <c r="I752" s="397"/>
      <c r="J752" s="397"/>
      <c r="K752" s="397"/>
      <c r="L752" s="397"/>
      <c r="M752" s="397"/>
      <c r="N752" s="397"/>
      <c r="O752" s="397"/>
      <c r="P752" s="397"/>
      <c r="Q752" s="397"/>
      <c r="R752" s="397"/>
      <c r="S752" s="397"/>
      <c r="T752" s="397"/>
      <c r="U752" s="397"/>
      <c r="V752" s="397"/>
      <c r="W752" s="397"/>
      <c r="X752" s="397"/>
      <c r="Y752" s="397"/>
      <c r="Z752" s="397"/>
      <c r="AA752" s="397"/>
    </row>
    <row r="753" spans="2:27" x14ac:dyDescent="0.25">
      <c r="B753">
        <v>92</v>
      </c>
      <c r="C753" s="397" t="str">
        <f>IF('0_Dades generals organització'!H144="","",'0_Dades generals organització'!H144)</f>
        <v/>
      </c>
      <c r="D753" s="397" t="str">
        <f>IF(C753="","",IF('0_Dades generals organització'!J144="no","",Dades!C753))</f>
        <v/>
      </c>
      <c r="E753" s="397" t="str">
        <f>IFERROR(INDEX($D$662:$D$911,MATCH(0,INDEX(COUNTIF($E$661:E752,$D$662:$D$911),),)),"")</f>
        <v/>
      </c>
      <c r="F753" s="397"/>
      <c r="G753" s="397"/>
      <c r="H753" s="397"/>
      <c r="I753" s="397"/>
      <c r="J753" s="397"/>
      <c r="K753" s="397"/>
      <c r="L753" s="397"/>
      <c r="M753" s="397"/>
      <c r="N753" s="397"/>
      <c r="O753" s="397"/>
      <c r="P753" s="397"/>
      <c r="Q753" s="397"/>
      <c r="R753" s="397"/>
      <c r="S753" s="397"/>
      <c r="T753" s="397"/>
      <c r="U753" s="397"/>
      <c r="V753" s="397"/>
      <c r="W753" s="397"/>
      <c r="X753" s="397"/>
      <c r="Y753" s="397"/>
      <c r="Z753" s="397"/>
      <c r="AA753" s="397"/>
    </row>
    <row r="754" spans="2:27" x14ac:dyDescent="0.25">
      <c r="B754">
        <v>93</v>
      </c>
      <c r="C754" s="397" t="str">
        <f>IF('0_Dades generals organització'!H145="","",'0_Dades generals organització'!H145)</f>
        <v/>
      </c>
      <c r="D754" s="397" t="str">
        <f>IF(C754="","",IF('0_Dades generals organització'!J145="no","",Dades!C754))</f>
        <v/>
      </c>
      <c r="E754" s="397" t="str">
        <f>IFERROR(INDEX($D$662:$D$911,MATCH(0,INDEX(COUNTIF($E$661:E753,$D$662:$D$911),),)),"")</f>
        <v/>
      </c>
      <c r="F754" s="397"/>
      <c r="G754" s="397"/>
      <c r="H754" s="397"/>
      <c r="I754" s="397"/>
      <c r="J754" s="397"/>
      <c r="K754" s="397"/>
      <c r="L754" s="397"/>
      <c r="M754" s="397"/>
      <c r="N754" s="397"/>
      <c r="O754" s="397"/>
      <c r="P754" s="397"/>
      <c r="Q754" s="397"/>
      <c r="R754" s="397"/>
      <c r="S754" s="397"/>
      <c r="T754" s="397"/>
      <c r="U754" s="397"/>
      <c r="V754" s="397"/>
      <c r="W754" s="397"/>
      <c r="X754" s="397"/>
      <c r="Y754" s="397"/>
      <c r="Z754" s="397"/>
      <c r="AA754" s="397"/>
    </row>
    <row r="755" spans="2:27" x14ac:dyDescent="0.25">
      <c r="B755">
        <v>94</v>
      </c>
      <c r="C755" s="397" t="str">
        <f>IF('0_Dades generals organització'!H146="","",'0_Dades generals organització'!H146)</f>
        <v/>
      </c>
      <c r="D755" s="397" t="str">
        <f>IF(C755="","",IF('0_Dades generals organització'!J146="no","",Dades!C755))</f>
        <v/>
      </c>
      <c r="E755" s="397" t="str">
        <f>IFERROR(INDEX($D$662:$D$911,MATCH(0,INDEX(COUNTIF($E$661:E754,$D$662:$D$911),),)),"")</f>
        <v/>
      </c>
      <c r="F755" s="397"/>
      <c r="G755" s="397"/>
      <c r="H755" s="397"/>
      <c r="I755" s="397"/>
      <c r="J755" s="397"/>
      <c r="K755" s="397"/>
      <c r="L755" s="397"/>
      <c r="M755" s="397"/>
      <c r="N755" s="397"/>
      <c r="O755" s="397"/>
      <c r="P755" s="397"/>
      <c r="Q755" s="397"/>
      <c r="R755" s="397"/>
      <c r="S755" s="397"/>
      <c r="T755" s="397"/>
      <c r="U755" s="397"/>
      <c r="V755" s="397"/>
      <c r="W755" s="397"/>
      <c r="X755" s="397"/>
      <c r="Y755" s="397"/>
      <c r="Z755" s="397"/>
      <c r="AA755" s="397"/>
    </row>
    <row r="756" spans="2:27" x14ac:dyDescent="0.25">
      <c r="B756">
        <v>95</v>
      </c>
      <c r="C756" s="397" t="str">
        <f>IF('0_Dades generals organització'!H147="","",'0_Dades generals organització'!H147)</f>
        <v/>
      </c>
      <c r="D756" s="397" t="str">
        <f>IF(C756="","",IF('0_Dades generals organització'!J147="no","",Dades!C756))</f>
        <v/>
      </c>
      <c r="E756" s="397" t="str">
        <f>IFERROR(INDEX($D$662:$D$911,MATCH(0,INDEX(COUNTIF($E$661:E755,$D$662:$D$911),),)),"")</f>
        <v/>
      </c>
      <c r="F756" s="397"/>
      <c r="G756" s="397"/>
      <c r="H756" s="397"/>
      <c r="I756" s="397"/>
      <c r="J756" s="397"/>
      <c r="K756" s="397"/>
      <c r="L756" s="397"/>
      <c r="M756" s="397"/>
      <c r="N756" s="397"/>
      <c r="O756" s="397"/>
      <c r="P756" s="397"/>
      <c r="Q756" s="397"/>
      <c r="R756" s="397"/>
      <c r="S756" s="397"/>
      <c r="T756" s="397"/>
      <c r="U756" s="397"/>
      <c r="V756" s="397"/>
      <c r="W756" s="397"/>
      <c r="X756" s="397"/>
      <c r="Y756" s="397"/>
      <c r="Z756" s="397"/>
      <c r="AA756" s="397"/>
    </row>
    <row r="757" spans="2:27" x14ac:dyDescent="0.25">
      <c r="B757">
        <v>96</v>
      </c>
      <c r="C757" s="397" t="str">
        <f>IF('0_Dades generals organització'!H148="","",'0_Dades generals organització'!H148)</f>
        <v/>
      </c>
      <c r="D757" s="397" t="str">
        <f>IF(C757="","",IF('0_Dades generals organització'!J148="no","",Dades!C757))</f>
        <v/>
      </c>
      <c r="E757" s="397" t="str">
        <f>IFERROR(INDEX($D$662:$D$911,MATCH(0,INDEX(COUNTIF($E$661:E756,$D$662:$D$911),),)),"")</f>
        <v/>
      </c>
      <c r="F757" s="397"/>
      <c r="G757" s="397"/>
      <c r="H757" s="397"/>
      <c r="I757" s="397"/>
      <c r="J757" s="397"/>
      <c r="K757" s="397"/>
      <c r="L757" s="397"/>
      <c r="M757" s="397"/>
      <c r="N757" s="397"/>
      <c r="O757" s="397"/>
      <c r="P757" s="397"/>
      <c r="Q757" s="397"/>
      <c r="R757" s="397"/>
      <c r="S757" s="397"/>
      <c r="T757" s="397"/>
      <c r="U757" s="397"/>
      <c r="V757" s="397"/>
      <c r="W757" s="397"/>
      <c r="X757" s="397"/>
      <c r="Y757" s="397"/>
      <c r="Z757" s="397"/>
      <c r="AA757" s="397"/>
    </row>
    <row r="758" spans="2:27" x14ac:dyDescent="0.25">
      <c r="B758">
        <v>97</v>
      </c>
      <c r="C758" s="397" t="str">
        <f>IF('0_Dades generals organització'!H149="","",'0_Dades generals organització'!H149)</f>
        <v/>
      </c>
      <c r="D758" s="397" t="str">
        <f>IF(C758="","",IF('0_Dades generals organització'!J149="no","",Dades!C758))</f>
        <v/>
      </c>
      <c r="E758" s="397" t="str">
        <f>IFERROR(INDEX($D$662:$D$911,MATCH(0,INDEX(COUNTIF($E$661:E757,$D$662:$D$911),),)),"")</f>
        <v/>
      </c>
      <c r="F758" s="397"/>
      <c r="G758" s="397"/>
      <c r="H758" s="397"/>
      <c r="I758" s="397"/>
      <c r="J758" s="397"/>
      <c r="K758" s="397"/>
      <c r="L758" s="397"/>
      <c r="M758" s="397"/>
      <c r="N758" s="397"/>
      <c r="O758" s="397"/>
      <c r="P758" s="397"/>
      <c r="Q758" s="397"/>
      <c r="R758" s="397"/>
      <c r="S758" s="397"/>
      <c r="T758" s="397"/>
      <c r="U758" s="397"/>
      <c r="V758" s="397"/>
      <c r="W758" s="397"/>
      <c r="X758" s="397"/>
      <c r="Y758" s="397"/>
      <c r="Z758" s="397"/>
      <c r="AA758" s="397"/>
    </row>
    <row r="759" spans="2:27" x14ac:dyDescent="0.25">
      <c r="B759">
        <v>98</v>
      </c>
      <c r="C759" s="397" t="str">
        <f>IF('0_Dades generals organització'!H150="","",'0_Dades generals organització'!H150)</f>
        <v/>
      </c>
      <c r="D759" s="397" t="str">
        <f>IF(C759="","",IF('0_Dades generals organització'!J150="no","",Dades!C759))</f>
        <v/>
      </c>
      <c r="E759" s="397" t="str">
        <f>IFERROR(INDEX($D$662:$D$911,MATCH(0,INDEX(COUNTIF($E$661:E758,$D$662:$D$911),),)),"")</f>
        <v/>
      </c>
      <c r="F759" s="397"/>
      <c r="G759" s="397"/>
      <c r="H759" s="397"/>
      <c r="I759" s="397"/>
      <c r="J759" s="397"/>
      <c r="K759" s="397"/>
      <c r="L759" s="397"/>
      <c r="M759" s="397"/>
      <c r="N759" s="397"/>
      <c r="O759" s="397"/>
      <c r="P759" s="397"/>
      <c r="Q759" s="397"/>
      <c r="R759" s="397"/>
      <c r="S759" s="397"/>
      <c r="T759" s="397"/>
      <c r="U759" s="397"/>
      <c r="V759" s="397"/>
      <c r="W759" s="397"/>
      <c r="X759" s="397"/>
      <c r="Y759" s="397"/>
      <c r="Z759" s="397"/>
      <c r="AA759" s="397"/>
    </row>
    <row r="760" spans="2:27" x14ac:dyDescent="0.25">
      <c r="B760">
        <v>99</v>
      </c>
      <c r="C760" s="397" t="str">
        <f>IF('0_Dades generals organització'!H151="","",'0_Dades generals organització'!H151)</f>
        <v/>
      </c>
      <c r="D760" s="397" t="str">
        <f>IF(C760="","",IF('0_Dades generals organització'!J151="no","",Dades!C760))</f>
        <v/>
      </c>
      <c r="E760" s="397" t="str">
        <f>IFERROR(INDEX($D$662:$D$911,MATCH(0,INDEX(COUNTIF($E$661:E759,$D$662:$D$911),),)),"")</f>
        <v/>
      </c>
      <c r="F760" s="397"/>
      <c r="G760" s="397"/>
      <c r="H760" s="397"/>
      <c r="I760" s="397"/>
      <c r="J760" s="397"/>
      <c r="K760" s="397"/>
      <c r="L760" s="397"/>
      <c r="M760" s="397"/>
      <c r="N760" s="397"/>
      <c r="O760" s="397"/>
      <c r="P760" s="397"/>
      <c r="Q760" s="397"/>
      <c r="R760" s="397"/>
      <c r="S760" s="397"/>
      <c r="T760" s="397"/>
      <c r="U760" s="397"/>
      <c r="V760" s="397"/>
      <c r="W760" s="397"/>
      <c r="X760" s="397"/>
      <c r="Y760" s="397"/>
      <c r="Z760" s="397"/>
      <c r="AA760" s="397"/>
    </row>
    <row r="761" spans="2:27" x14ac:dyDescent="0.25">
      <c r="B761">
        <v>100</v>
      </c>
      <c r="C761" s="397" t="str">
        <f>IF('0_Dades generals organització'!H152="","",'0_Dades generals organització'!H152)</f>
        <v/>
      </c>
      <c r="D761" s="397" t="str">
        <f>IF(C761="","",IF('0_Dades generals organització'!J152="no","",Dades!C761))</f>
        <v/>
      </c>
      <c r="E761" s="397" t="str">
        <f>IFERROR(INDEX($D$662:$D$911,MATCH(0,INDEX(COUNTIF($E$661:E760,$D$662:$D$911),),)),"")</f>
        <v/>
      </c>
      <c r="F761" s="397"/>
      <c r="G761" s="397"/>
      <c r="H761" s="397"/>
      <c r="I761" s="397"/>
      <c r="J761" s="397"/>
      <c r="K761" s="397"/>
      <c r="L761" s="397"/>
      <c r="M761" s="397"/>
      <c r="N761" s="397"/>
      <c r="O761" s="397"/>
      <c r="P761" s="397"/>
      <c r="Q761" s="397"/>
      <c r="R761" s="397"/>
      <c r="S761" s="397"/>
      <c r="T761" s="397"/>
      <c r="U761" s="397"/>
      <c r="V761" s="397"/>
      <c r="W761" s="397"/>
      <c r="X761" s="397"/>
      <c r="Y761" s="397"/>
      <c r="Z761" s="397"/>
      <c r="AA761" s="397"/>
    </row>
    <row r="762" spans="2:27" x14ac:dyDescent="0.25">
      <c r="B762">
        <v>101</v>
      </c>
      <c r="C762" s="397" t="str">
        <f>IF('0_Dades generals organització'!H153="","",'0_Dades generals organització'!H153)</f>
        <v/>
      </c>
      <c r="D762" s="397" t="str">
        <f>IF(C762="","",IF('0_Dades generals organització'!J153="no","",Dades!C762))</f>
        <v/>
      </c>
      <c r="E762" s="397" t="str">
        <f>IFERROR(INDEX($D$662:$D$911,MATCH(0,INDEX(COUNTIF($E$661:E761,$D$662:$D$911),),)),"")</f>
        <v/>
      </c>
      <c r="F762" s="397"/>
      <c r="G762" s="397"/>
      <c r="H762" s="397"/>
      <c r="I762" s="397"/>
      <c r="J762" s="397"/>
      <c r="K762" s="397"/>
      <c r="L762" s="397"/>
      <c r="M762" s="397"/>
      <c r="N762" s="397"/>
      <c r="O762" s="397"/>
      <c r="P762" s="397"/>
      <c r="Q762" s="397"/>
      <c r="R762" s="397"/>
      <c r="S762" s="397"/>
      <c r="T762" s="397"/>
      <c r="U762" s="397"/>
      <c r="V762" s="397"/>
      <c r="W762" s="397"/>
      <c r="X762" s="397"/>
      <c r="Y762" s="397"/>
      <c r="Z762" s="397"/>
      <c r="AA762" s="397"/>
    </row>
    <row r="763" spans="2:27" x14ac:dyDescent="0.25">
      <c r="B763">
        <v>102</v>
      </c>
      <c r="C763" s="397" t="str">
        <f>IF('0_Dades generals organització'!H154="","",'0_Dades generals organització'!H154)</f>
        <v/>
      </c>
      <c r="D763" s="397" t="str">
        <f>IF(C763="","",IF('0_Dades generals organització'!J154="no","",Dades!C763))</f>
        <v/>
      </c>
      <c r="E763" s="397" t="str">
        <f>IFERROR(INDEX($D$662:$D$911,MATCH(0,INDEX(COUNTIF($E$661:E762,$D$662:$D$911),),)),"")</f>
        <v/>
      </c>
      <c r="F763" s="397"/>
      <c r="G763" s="397"/>
      <c r="H763" s="397"/>
      <c r="I763" s="397"/>
      <c r="J763" s="397"/>
      <c r="K763" s="397"/>
      <c r="L763" s="397"/>
      <c r="M763" s="397"/>
      <c r="N763" s="397"/>
      <c r="O763" s="397"/>
      <c r="P763" s="397"/>
      <c r="Q763" s="397"/>
      <c r="R763" s="397"/>
      <c r="S763" s="397"/>
      <c r="T763" s="397"/>
      <c r="U763" s="397"/>
      <c r="V763" s="397"/>
      <c r="W763" s="397"/>
      <c r="X763" s="397"/>
      <c r="Y763" s="397"/>
      <c r="Z763" s="397"/>
      <c r="AA763" s="397"/>
    </row>
    <row r="764" spans="2:27" x14ac:dyDescent="0.25">
      <c r="B764">
        <v>103</v>
      </c>
      <c r="C764" s="397" t="str">
        <f>IF('0_Dades generals organització'!H155="","",'0_Dades generals organització'!H155)</f>
        <v/>
      </c>
      <c r="D764" s="397" t="str">
        <f>IF(C764="","",IF('0_Dades generals organització'!J155="no","",Dades!C764))</f>
        <v/>
      </c>
      <c r="E764" s="397" t="str">
        <f>IFERROR(INDEX($D$662:$D$911,MATCH(0,INDEX(COUNTIF($E$661:E763,$D$662:$D$911),),)),"")</f>
        <v/>
      </c>
      <c r="F764" s="397"/>
      <c r="G764" s="397"/>
      <c r="H764" s="397"/>
      <c r="I764" s="397"/>
      <c r="J764" s="397"/>
      <c r="K764" s="397"/>
      <c r="L764" s="397"/>
      <c r="M764" s="397"/>
      <c r="N764" s="397"/>
      <c r="O764" s="397"/>
      <c r="P764" s="397"/>
      <c r="Q764" s="397"/>
      <c r="R764" s="397"/>
      <c r="S764" s="397"/>
      <c r="T764" s="397"/>
      <c r="U764" s="397"/>
      <c r="V764" s="397"/>
      <c r="W764" s="397"/>
      <c r="X764" s="397"/>
      <c r="Y764" s="397"/>
      <c r="Z764" s="397"/>
      <c r="AA764" s="397"/>
    </row>
    <row r="765" spans="2:27" x14ac:dyDescent="0.25">
      <c r="B765">
        <v>104</v>
      </c>
      <c r="C765" s="397" t="str">
        <f>IF('0_Dades generals organització'!H156="","",'0_Dades generals organització'!H156)</f>
        <v/>
      </c>
      <c r="D765" s="397" t="str">
        <f>IF(C765="","",IF('0_Dades generals organització'!J156="no","",Dades!C765))</f>
        <v/>
      </c>
      <c r="E765" s="397" t="str">
        <f>IFERROR(INDEX($D$662:$D$911,MATCH(0,INDEX(COUNTIF($E$661:E764,$D$662:$D$911),),)),"")</f>
        <v/>
      </c>
      <c r="F765" s="397"/>
      <c r="G765" s="397"/>
      <c r="H765" s="397"/>
      <c r="I765" s="397"/>
      <c r="J765" s="397"/>
      <c r="K765" s="397"/>
      <c r="L765" s="397"/>
      <c r="M765" s="397"/>
      <c r="N765" s="397"/>
      <c r="O765" s="397"/>
      <c r="P765" s="397"/>
      <c r="Q765" s="397"/>
      <c r="R765" s="397"/>
      <c r="S765" s="397"/>
      <c r="T765" s="397"/>
      <c r="U765" s="397"/>
      <c r="V765" s="397"/>
      <c r="W765" s="397"/>
      <c r="X765" s="397"/>
      <c r="Y765" s="397"/>
      <c r="Z765" s="397"/>
      <c r="AA765" s="397"/>
    </row>
    <row r="766" spans="2:27" x14ac:dyDescent="0.25">
      <c r="B766">
        <v>105</v>
      </c>
      <c r="C766" s="397" t="str">
        <f>IF('0_Dades generals organització'!H157="","",'0_Dades generals organització'!H157)</f>
        <v/>
      </c>
      <c r="D766" s="397" t="str">
        <f>IF(C766="","",IF('0_Dades generals organització'!J157="no","",Dades!C766))</f>
        <v/>
      </c>
      <c r="E766" s="397" t="str">
        <f>IFERROR(INDEX($D$662:$D$911,MATCH(0,INDEX(COUNTIF($E$661:E765,$D$662:$D$911),),)),"")</f>
        <v/>
      </c>
      <c r="F766" s="397"/>
      <c r="G766" s="397"/>
      <c r="H766" s="397"/>
      <c r="I766" s="397"/>
      <c r="J766" s="397"/>
      <c r="K766" s="397"/>
      <c r="L766" s="397"/>
      <c r="M766" s="397"/>
      <c r="N766" s="397"/>
      <c r="O766" s="397"/>
      <c r="P766" s="397"/>
      <c r="Q766" s="397"/>
      <c r="R766" s="397"/>
      <c r="S766" s="397"/>
      <c r="T766" s="397"/>
      <c r="U766" s="397"/>
      <c r="V766" s="397"/>
      <c r="W766" s="397"/>
      <c r="X766" s="397"/>
      <c r="Y766" s="397"/>
      <c r="Z766" s="397"/>
      <c r="AA766" s="397"/>
    </row>
    <row r="767" spans="2:27" x14ac:dyDescent="0.25">
      <c r="B767">
        <v>106</v>
      </c>
      <c r="C767" s="397" t="str">
        <f>IF('0_Dades generals organització'!H158="","",'0_Dades generals organització'!H158)</f>
        <v/>
      </c>
      <c r="D767" s="397" t="str">
        <f>IF(C767="","",IF('0_Dades generals organització'!J158="no","",Dades!C767))</f>
        <v/>
      </c>
      <c r="E767" s="397" t="str">
        <f>IFERROR(INDEX($D$662:$D$911,MATCH(0,INDEX(COUNTIF($E$661:E766,$D$662:$D$911),),)),"")</f>
        <v/>
      </c>
      <c r="F767" s="397"/>
      <c r="G767" s="397"/>
      <c r="H767" s="397"/>
      <c r="I767" s="397"/>
      <c r="J767" s="397"/>
      <c r="K767" s="397"/>
      <c r="L767" s="397"/>
      <c r="M767" s="397"/>
      <c r="N767" s="397"/>
      <c r="O767" s="397"/>
      <c r="P767" s="397"/>
      <c r="Q767" s="397"/>
      <c r="R767" s="397"/>
      <c r="S767" s="397"/>
      <c r="T767" s="397"/>
      <c r="U767" s="397"/>
      <c r="V767" s="397"/>
      <c r="W767" s="397"/>
      <c r="X767" s="397"/>
      <c r="Y767" s="397"/>
      <c r="Z767" s="397"/>
      <c r="AA767" s="397"/>
    </row>
    <row r="768" spans="2:27" x14ac:dyDescent="0.25">
      <c r="B768">
        <v>107</v>
      </c>
      <c r="C768" s="397" t="str">
        <f>IF('0_Dades generals organització'!H159="","",'0_Dades generals organització'!H159)</f>
        <v/>
      </c>
      <c r="D768" s="397" t="str">
        <f>IF(C768="","",IF('0_Dades generals organització'!J159="no","",Dades!C768))</f>
        <v/>
      </c>
      <c r="E768" s="397" t="str">
        <f>IFERROR(INDEX($D$662:$D$911,MATCH(0,INDEX(COUNTIF($E$661:E767,$D$662:$D$911),),)),"")</f>
        <v/>
      </c>
      <c r="F768" s="397"/>
      <c r="G768" s="397"/>
      <c r="H768" s="397"/>
      <c r="I768" s="397"/>
      <c r="J768" s="397"/>
      <c r="K768" s="397"/>
      <c r="L768" s="397"/>
      <c r="M768" s="397"/>
      <c r="N768" s="397"/>
      <c r="O768" s="397"/>
      <c r="P768" s="397"/>
      <c r="Q768" s="397"/>
      <c r="R768" s="397"/>
      <c r="S768" s="397"/>
      <c r="T768" s="397"/>
      <c r="U768" s="397"/>
      <c r="V768" s="397"/>
      <c r="W768" s="397"/>
      <c r="X768" s="397"/>
      <c r="Y768" s="397"/>
      <c r="Z768" s="397"/>
      <c r="AA768" s="397"/>
    </row>
    <row r="769" spans="2:27" x14ac:dyDescent="0.25">
      <c r="B769">
        <v>108</v>
      </c>
      <c r="C769" s="397" t="str">
        <f>IF('0_Dades generals organització'!H160="","",'0_Dades generals organització'!H160)</f>
        <v/>
      </c>
      <c r="D769" s="397" t="str">
        <f>IF(C769="","",IF('0_Dades generals organització'!J160="no","",Dades!C769))</f>
        <v/>
      </c>
      <c r="E769" s="397" t="str">
        <f>IFERROR(INDEX($D$662:$D$911,MATCH(0,INDEX(COUNTIF($E$661:E768,$D$662:$D$911),),)),"")</f>
        <v/>
      </c>
      <c r="F769" s="397"/>
      <c r="G769" s="397"/>
      <c r="H769" s="397"/>
      <c r="I769" s="397"/>
      <c r="J769" s="397"/>
      <c r="K769" s="397"/>
      <c r="L769" s="397"/>
      <c r="M769" s="397"/>
      <c r="N769" s="397"/>
      <c r="O769" s="397"/>
      <c r="P769" s="397"/>
      <c r="Q769" s="397"/>
      <c r="R769" s="397"/>
      <c r="S769" s="397"/>
      <c r="T769" s="397"/>
      <c r="U769" s="397"/>
      <c r="V769" s="397"/>
      <c r="W769" s="397"/>
      <c r="X769" s="397"/>
      <c r="Y769" s="397"/>
      <c r="Z769" s="397"/>
      <c r="AA769" s="397"/>
    </row>
    <row r="770" spans="2:27" x14ac:dyDescent="0.25">
      <c r="B770">
        <v>109</v>
      </c>
      <c r="C770" s="397" t="str">
        <f>IF('0_Dades generals organització'!H161="","",'0_Dades generals organització'!H161)</f>
        <v/>
      </c>
      <c r="D770" s="397" t="str">
        <f>IF(C770="","",IF('0_Dades generals organització'!J161="no","",Dades!C770))</f>
        <v/>
      </c>
      <c r="E770" s="397" t="str">
        <f>IFERROR(INDEX($D$662:$D$911,MATCH(0,INDEX(COUNTIF($E$661:E769,$D$662:$D$911),),)),"")</f>
        <v/>
      </c>
      <c r="F770" s="397"/>
      <c r="G770" s="397"/>
      <c r="H770" s="397"/>
      <c r="I770" s="397"/>
      <c r="J770" s="397"/>
      <c r="K770" s="397"/>
      <c r="L770" s="397"/>
      <c r="M770" s="397"/>
      <c r="N770" s="397"/>
      <c r="O770" s="397"/>
      <c r="P770" s="397"/>
      <c r="Q770" s="397"/>
      <c r="R770" s="397"/>
      <c r="S770" s="397"/>
      <c r="T770" s="397"/>
      <c r="U770" s="397"/>
      <c r="V770" s="397"/>
      <c r="W770" s="397"/>
      <c r="X770" s="397"/>
      <c r="Y770" s="397"/>
      <c r="Z770" s="397"/>
      <c r="AA770" s="397"/>
    </row>
    <row r="771" spans="2:27" x14ac:dyDescent="0.25">
      <c r="B771">
        <v>110</v>
      </c>
      <c r="C771" s="397" t="str">
        <f>IF('0_Dades generals organització'!H162="","",'0_Dades generals organització'!H162)</f>
        <v/>
      </c>
      <c r="D771" s="397" t="str">
        <f>IF(C771="","",IF('0_Dades generals organització'!J162="no","",Dades!C771))</f>
        <v/>
      </c>
      <c r="E771" s="397" t="str">
        <f>IFERROR(INDEX($D$662:$D$911,MATCH(0,INDEX(COUNTIF($E$661:E770,$D$662:$D$911),),)),"")</f>
        <v/>
      </c>
      <c r="F771" s="397"/>
      <c r="G771" s="397"/>
      <c r="H771" s="397"/>
      <c r="I771" s="397"/>
      <c r="J771" s="397"/>
      <c r="K771" s="397"/>
      <c r="L771" s="397"/>
      <c r="M771" s="397"/>
      <c r="N771" s="397"/>
      <c r="O771" s="397"/>
      <c r="P771" s="397"/>
      <c r="Q771" s="397"/>
      <c r="R771" s="397"/>
      <c r="S771" s="397"/>
      <c r="T771" s="397"/>
      <c r="U771" s="397"/>
      <c r="V771" s="397"/>
      <c r="W771" s="397"/>
      <c r="X771" s="397"/>
      <c r="Y771" s="397"/>
      <c r="Z771" s="397"/>
      <c r="AA771" s="397"/>
    </row>
    <row r="772" spans="2:27" x14ac:dyDescent="0.25">
      <c r="B772">
        <v>111</v>
      </c>
      <c r="C772" s="397" t="str">
        <f>IF('0_Dades generals organització'!H163="","",'0_Dades generals organització'!H163)</f>
        <v/>
      </c>
      <c r="D772" s="397" t="str">
        <f>IF(C772="","",IF('0_Dades generals organització'!J163="no","",Dades!C772))</f>
        <v/>
      </c>
      <c r="E772" s="397" t="str">
        <f>IFERROR(INDEX($D$662:$D$911,MATCH(0,INDEX(COUNTIF($E$661:E771,$D$662:$D$911),),)),"")</f>
        <v/>
      </c>
      <c r="F772" s="397"/>
      <c r="G772" s="397"/>
      <c r="H772" s="397"/>
      <c r="I772" s="397"/>
      <c r="J772" s="397"/>
      <c r="K772" s="397"/>
      <c r="L772" s="397"/>
      <c r="M772" s="397"/>
      <c r="N772" s="397"/>
      <c r="O772" s="397"/>
      <c r="P772" s="397"/>
      <c r="Q772" s="397"/>
      <c r="R772" s="397"/>
      <c r="S772" s="397"/>
      <c r="T772" s="397"/>
      <c r="U772" s="397"/>
      <c r="V772" s="397"/>
      <c r="W772" s="397"/>
      <c r="X772" s="397"/>
      <c r="Y772" s="397"/>
      <c r="Z772" s="397"/>
      <c r="AA772" s="397"/>
    </row>
    <row r="773" spans="2:27" x14ac:dyDescent="0.25">
      <c r="B773">
        <v>112</v>
      </c>
      <c r="C773" s="397" t="str">
        <f>IF('0_Dades generals organització'!H164="","",'0_Dades generals organització'!H164)</f>
        <v/>
      </c>
      <c r="D773" s="397" t="str">
        <f>IF(C773="","",IF('0_Dades generals organització'!J164="no","",Dades!C773))</f>
        <v/>
      </c>
      <c r="E773" s="397" t="str">
        <f>IFERROR(INDEX($D$662:$D$911,MATCH(0,INDEX(COUNTIF($E$661:E772,$D$662:$D$911),),)),"")</f>
        <v/>
      </c>
      <c r="F773" s="397"/>
      <c r="G773" s="397"/>
      <c r="H773" s="397"/>
      <c r="I773" s="397"/>
      <c r="J773" s="397"/>
      <c r="K773" s="397"/>
      <c r="L773" s="397"/>
      <c r="M773" s="397"/>
      <c r="N773" s="397"/>
      <c r="O773" s="397"/>
      <c r="P773" s="397"/>
      <c r="Q773" s="397"/>
      <c r="R773" s="397"/>
      <c r="S773" s="397"/>
      <c r="T773" s="397"/>
      <c r="U773" s="397"/>
      <c r="V773" s="397"/>
      <c r="W773" s="397"/>
      <c r="X773" s="397"/>
      <c r="Y773" s="397"/>
      <c r="Z773" s="397"/>
      <c r="AA773" s="397"/>
    </row>
    <row r="774" spans="2:27" x14ac:dyDescent="0.25">
      <c r="B774">
        <v>113</v>
      </c>
      <c r="C774" s="397" t="str">
        <f>IF('0_Dades generals organització'!H165="","",'0_Dades generals organització'!H165)</f>
        <v/>
      </c>
      <c r="D774" s="397" t="str">
        <f>IF(C774="","",IF('0_Dades generals organització'!J165="no","",Dades!C774))</f>
        <v/>
      </c>
      <c r="E774" s="397" t="str">
        <f>IFERROR(INDEX($D$662:$D$911,MATCH(0,INDEX(COUNTIF($E$661:E773,$D$662:$D$911),),)),"")</f>
        <v/>
      </c>
      <c r="F774" s="397"/>
      <c r="G774" s="397"/>
      <c r="H774" s="397"/>
      <c r="I774" s="397"/>
      <c r="J774" s="397"/>
      <c r="K774" s="397"/>
      <c r="L774" s="397"/>
      <c r="M774" s="397"/>
      <c r="N774" s="397"/>
      <c r="O774" s="397"/>
      <c r="P774" s="397"/>
      <c r="Q774" s="397"/>
      <c r="R774" s="397"/>
      <c r="S774" s="397"/>
      <c r="T774" s="397"/>
      <c r="U774" s="397"/>
      <c r="V774" s="397"/>
      <c r="W774" s="397"/>
      <c r="X774" s="397"/>
      <c r="Y774" s="397"/>
      <c r="Z774" s="397"/>
      <c r="AA774" s="397"/>
    </row>
    <row r="775" spans="2:27" x14ac:dyDescent="0.25">
      <c r="B775">
        <v>114</v>
      </c>
      <c r="C775" s="397" t="str">
        <f>IF('0_Dades generals organització'!H166="","",'0_Dades generals organització'!H166)</f>
        <v/>
      </c>
      <c r="D775" s="397" t="str">
        <f>IF(C775="","",IF('0_Dades generals organització'!J166="no","",Dades!C775))</f>
        <v/>
      </c>
      <c r="E775" s="397" t="str">
        <f>IFERROR(INDEX($D$662:$D$911,MATCH(0,INDEX(COUNTIF($E$661:E774,$D$662:$D$911),),)),"")</f>
        <v/>
      </c>
      <c r="F775" s="397"/>
      <c r="G775" s="397"/>
      <c r="H775" s="397"/>
      <c r="I775" s="397"/>
      <c r="J775" s="397"/>
      <c r="K775" s="397"/>
      <c r="L775" s="397"/>
      <c r="M775" s="397"/>
      <c r="N775" s="397"/>
      <c r="O775" s="397"/>
      <c r="P775" s="397"/>
      <c r="Q775" s="397"/>
      <c r="R775" s="397"/>
      <c r="S775" s="397"/>
      <c r="T775" s="397"/>
      <c r="U775" s="397"/>
      <c r="V775" s="397"/>
      <c r="W775" s="397"/>
      <c r="X775" s="397"/>
      <c r="Y775" s="397"/>
      <c r="Z775" s="397"/>
      <c r="AA775" s="397"/>
    </row>
    <row r="776" spans="2:27" x14ac:dyDescent="0.25">
      <c r="B776">
        <v>115</v>
      </c>
      <c r="C776" s="397" t="str">
        <f>IF('0_Dades generals organització'!H167="","",'0_Dades generals organització'!H167)</f>
        <v/>
      </c>
      <c r="D776" s="397" t="str">
        <f>IF(C776="","",IF('0_Dades generals organització'!J167="no","",Dades!C776))</f>
        <v/>
      </c>
      <c r="E776" s="397" t="str">
        <f>IFERROR(INDEX($D$662:$D$911,MATCH(0,INDEX(COUNTIF($E$661:E775,$D$662:$D$911),),)),"")</f>
        <v/>
      </c>
      <c r="F776" s="397"/>
      <c r="G776" s="397"/>
      <c r="H776" s="397"/>
      <c r="I776" s="397"/>
      <c r="J776" s="397"/>
      <c r="K776" s="397"/>
      <c r="L776" s="397"/>
      <c r="M776" s="397"/>
      <c r="N776" s="397"/>
      <c r="O776" s="397"/>
      <c r="P776" s="397"/>
      <c r="Q776" s="397"/>
      <c r="R776" s="397"/>
      <c r="S776" s="397"/>
      <c r="T776" s="397"/>
      <c r="U776" s="397"/>
      <c r="V776" s="397"/>
      <c r="W776" s="397"/>
      <c r="X776" s="397"/>
      <c r="Y776" s="397"/>
      <c r="Z776" s="397"/>
      <c r="AA776" s="397"/>
    </row>
    <row r="777" spans="2:27" x14ac:dyDescent="0.25">
      <c r="B777">
        <v>116</v>
      </c>
      <c r="C777" s="397" t="str">
        <f>IF('0_Dades generals organització'!H168="","",'0_Dades generals organització'!H168)</f>
        <v/>
      </c>
      <c r="D777" s="397" t="str">
        <f>IF(C777="","",IF('0_Dades generals organització'!J168="no","",Dades!C777))</f>
        <v/>
      </c>
      <c r="E777" s="397" t="str">
        <f>IFERROR(INDEX($D$662:$D$911,MATCH(0,INDEX(COUNTIF($E$661:E776,$D$662:$D$911),),)),"")</f>
        <v/>
      </c>
      <c r="F777" s="397"/>
      <c r="G777" s="397"/>
      <c r="H777" s="397"/>
      <c r="I777" s="397"/>
      <c r="J777" s="397"/>
      <c r="K777" s="397"/>
      <c r="L777" s="397"/>
      <c r="M777" s="397"/>
      <c r="N777" s="397"/>
      <c r="O777" s="397"/>
      <c r="P777" s="397"/>
      <c r="Q777" s="397"/>
      <c r="R777" s="397"/>
      <c r="S777" s="397"/>
      <c r="T777" s="397"/>
      <c r="U777" s="397"/>
      <c r="V777" s="397"/>
      <c r="W777" s="397"/>
      <c r="X777" s="397"/>
      <c r="Y777" s="397"/>
      <c r="Z777" s="397"/>
      <c r="AA777" s="397"/>
    </row>
    <row r="778" spans="2:27" x14ac:dyDescent="0.25">
      <c r="B778">
        <v>117</v>
      </c>
      <c r="C778" s="397" t="str">
        <f>IF('0_Dades generals organització'!H169="","",'0_Dades generals organització'!H169)</f>
        <v/>
      </c>
      <c r="D778" s="397" t="str">
        <f>IF(C778="","",IF('0_Dades generals organització'!J169="no","",Dades!C778))</f>
        <v/>
      </c>
      <c r="E778" s="397" t="str">
        <f>IFERROR(INDEX($D$662:$D$911,MATCH(0,INDEX(COUNTIF($E$661:E777,$D$662:$D$911),),)),"")</f>
        <v/>
      </c>
      <c r="F778" s="397"/>
      <c r="G778" s="397"/>
      <c r="H778" s="397"/>
      <c r="I778" s="397"/>
      <c r="J778" s="397"/>
      <c r="K778" s="397"/>
      <c r="L778" s="397"/>
      <c r="M778" s="397"/>
      <c r="N778" s="397"/>
      <c r="O778" s="397"/>
      <c r="P778" s="397"/>
      <c r="Q778" s="397"/>
      <c r="R778" s="397"/>
      <c r="S778" s="397"/>
      <c r="T778" s="397"/>
      <c r="U778" s="397"/>
      <c r="V778" s="397"/>
      <c r="W778" s="397"/>
      <c r="X778" s="397"/>
      <c r="Y778" s="397"/>
      <c r="Z778" s="397"/>
      <c r="AA778" s="397"/>
    </row>
    <row r="779" spans="2:27" x14ac:dyDescent="0.25">
      <c r="B779">
        <v>118</v>
      </c>
      <c r="C779" s="397" t="str">
        <f>IF('0_Dades generals organització'!H170="","",'0_Dades generals organització'!H170)</f>
        <v/>
      </c>
      <c r="D779" s="397" t="str">
        <f>IF(C779="","",IF('0_Dades generals organització'!J170="no","",Dades!C779))</f>
        <v/>
      </c>
      <c r="E779" s="397" t="str">
        <f>IFERROR(INDEX($D$662:$D$911,MATCH(0,INDEX(COUNTIF($E$661:E778,$D$662:$D$911),),)),"")</f>
        <v/>
      </c>
      <c r="F779" s="397"/>
      <c r="G779" s="397"/>
      <c r="H779" s="397"/>
      <c r="I779" s="397"/>
      <c r="J779" s="397"/>
      <c r="K779" s="397"/>
      <c r="L779" s="397"/>
      <c r="M779" s="397"/>
      <c r="N779" s="397"/>
      <c r="O779" s="397"/>
      <c r="P779" s="397"/>
      <c r="Q779" s="397"/>
      <c r="R779" s="397"/>
      <c r="S779" s="397"/>
      <c r="T779" s="397"/>
      <c r="U779" s="397"/>
      <c r="V779" s="397"/>
      <c r="W779" s="397"/>
      <c r="X779" s="397"/>
      <c r="Y779" s="397"/>
      <c r="Z779" s="397"/>
      <c r="AA779" s="397"/>
    </row>
    <row r="780" spans="2:27" x14ac:dyDescent="0.25">
      <c r="B780">
        <v>119</v>
      </c>
      <c r="C780" s="397" t="str">
        <f>IF('0_Dades generals organització'!H171="","",'0_Dades generals organització'!H171)</f>
        <v/>
      </c>
      <c r="D780" s="397" t="str">
        <f>IF(C780="","",IF('0_Dades generals organització'!J171="no","",Dades!C780))</f>
        <v/>
      </c>
      <c r="E780" s="397" t="str">
        <f>IFERROR(INDEX($D$662:$D$911,MATCH(0,INDEX(COUNTIF($E$661:E779,$D$662:$D$911),),)),"")</f>
        <v/>
      </c>
      <c r="F780" s="397"/>
      <c r="G780" s="397"/>
      <c r="H780" s="397"/>
      <c r="I780" s="397"/>
      <c r="J780" s="397"/>
      <c r="K780" s="397"/>
      <c r="L780" s="397"/>
      <c r="M780" s="397"/>
      <c r="N780" s="397"/>
      <c r="O780" s="397"/>
      <c r="P780" s="397"/>
      <c r="Q780" s="397"/>
      <c r="R780" s="397"/>
      <c r="S780" s="397"/>
      <c r="T780" s="397"/>
      <c r="U780" s="397"/>
      <c r="V780" s="397"/>
      <c r="W780" s="397"/>
      <c r="X780" s="397"/>
      <c r="Y780" s="397"/>
      <c r="Z780" s="397"/>
      <c r="AA780" s="397"/>
    </row>
    <row r="781" spans="2:27" x14ac:dyDescent="0.25">
      <c r="B781">
        <v>120</v>
      </c>
      <c r="C781" s="397" t="str">
        <f>IF('0_Dades generals organització'!H172="","",'0_Dades generals organització'!H172)</f>
        <v/>
      </c>
      <c r="D781" s="397" t="str">
        <f>IF(C781="","",IF('0_Dades generals organització'!J172="no","",Dades!C781))</f>
        <v/>
      </c>
      <c r="E781" s="397" t="str">
        <f>IFERROR(INDEX($D$662:$D$911,MATCH(0,INDEX(COUNTIF($E$661:E780,$D$662:$D$911),),)),"")</f>
        <v/>
      </c>
      <c r="F781" s="397"/>
      <c r="G781" s="397"/>
      <c r="H781" s="397"/>
      <c r="I781" s="397"/>
      <c r="J781" s="397"/>
      <c r="K781" s="397"/>
      <c r="L781" s="397"/>
      <c r="M781" s="397"/>
      <c r="N781" s="397"/>
      <c r="O781" s="397"/>
      <c r="P781" s="397"/>
      <c r="Q781" s="397"/>
      <c r="R781" s="397"/>
      <c r="S781" s="397"/>
      <c r="T781" s="397"/>
      <c r="U781" s="397"/>
      <c r="V781" s="397"/>
      <c r="W781" s="397"/>
      <c r="X781" s="397"/>
      <c r="Y781" s="397"/>
      <c r="Z781" s="397"/>
      <c r="AA781" s="397"/>
    </row>
    <row r="782" spans="2:27" x14ac:dyDescent="0.25">
      <c r="B782">
        <v>121</v>
      </c>
      <c r="C782" s="397" t="str">
        <f>IF('0_Dades generals organització'!H173="","",'0_Dades generals organització'!H173)</f>
        <v/>
      </c>
      <c r="D782" s="397" t="str">
        <f>IF(C782="","",IF('0_Dades generals organització'!J173="no","",Dades!C782))</f>
        <v/>
      </c>
      <c r="E782" s="397" t="str">
        <f>IFERROR(INDEX($D$662:$D$911,MATCH(0,INDEX(COUNTIF($E$661:E781,$D$662:$D$911),),)),"")</f>
        <v/>
      </c>
      <c r="F782" s="397"/>
      <c r="G782" s="397"/>
      <c r="H782" s="397"/>
      <c r="I782" s="397"/>
      <c r="J782" s="397"/>
      <c r="K782" s="397"/>
      <c r="L782" s="397"/>
      <c r="M782" s="397"/>
      <c r="N782" s="397"/>
      <c r="O782" s="397"/>
      <c r="P782" s="397"/>
      <c r="Q782" s="397"/>
      <c r="R782" s="397"/>
      <c r="S782" s="397"/>
      <c r="T782" s="397"/>
      <c r="U782" s="397"/>
      <c r="V782" s="397"/>
      <c r="W782" s="397"/>
      <c r="X782" s="397"/>
      <c r="Y782" s="397"/>
      <c r="Z782" s="397"/>
      <c r="AA782" s="397"/>
    </row>
    <row r="783" spans="2:27" x14ac:dyDescent="0.25">
      <c r="B783">
        <v>122</v>
      </c>
      <c r="C783" s="397" t="str">
        <f>IF('0_Dades generals organització'!H174="","",'0_Dades generals organització'!H174)</f>
        <v/>
      </c>
      <c r="D783" s="397" t="str">
        <f>IF(C783="","",IF('0_Dades generals organització'!J174="no","",Dades!C783))</f>
        <v/>
      </c>
      <c r="E783" s="397" t="str">
        <f>IFERROR(INDEX($D$662:$D$911,MATCH(0,INDEX(COUNTIF($E$661:E782,$D$662:$D$911),),)),"")</f>
        <v/>
      </c>
      <c r="F783" s="397"/>
      <c r="G783" s="397"/>
      <c r="H783" s="397"/>
      <c r="I783" s="397"/>
      <c r="J783" s="397"/>
      <c r="K783" s="397"/>
      <c r="L783" s="397"/>
      <c r="M783" s="397"/>
      <c r="N783" s="397"/>
      <c r="O783" s="397"/>
      <c r="P783" s="397"/>
      <c r="Q783" s="397"/>
      <c r="R783" s="397"/>
      <c r="S783" s="397"/>
      <c r="T783" s="397"/>
      <c r="U783" s="397"/>
      <c r="V783" s="397"/>
      <c r="W783" s="397"/>
      <c r="X783" s="397"/>
      <c r="Y783" s="397"/>
      <c r="Z783" s="397"/>
      <c r="AA783" s="397"/>
    </row>
    <row r="784" spans="2:27" x14ac:dyDescent="0.25">
      <c r="B784">
        <v>123</v>
      </c>
      <c r="C784" s="397" t="str">
        <f>IF('0_Dades generals organització'!H175="","",'0_Dades generals organització'!H175)</f>
        <v/>
      </c>
      <c r="D784" s="397" t="str">
        <f>IF(C784="","",IF('0_Dades generals organització'!J175="no","",Dades!C784))</f>
        <v/>
      </c>
      <c r="E784" s="397" t="str">
        <f>IFERROR(INDEX($D$662:$D$911,MATCH(0,INDEX(COUNTIF($E$661:E783,$D$662:$D$911),),)),"")</f>
        <v/>
      </c>
      <c r="F784" s="397"/>
      <c r="G784" s="397"/>
      <c r="H784" s="397"/>
      <c r="I784" s="397"/>
      <c r="J784" s="397"/>
      <c r="K784" s="397"/>
      <c r="L784" s="397"/>
      <c r="M784" s="397"/>
      <c r="N784" s="397"/>
      <c r="O784" s="397"/>
      <c r="P784" s="397"/>
      <c r="Q784" s="397"/>
      <c r="R784" s="397"/>
      <c r="S784" s="397"/>
      <c r="T784" s="397"/>
      <c r="U784" s="397"/>
      <c r="V784" s="397"/>
      <c r="W784" s="397"/>
      <c r="X784" s="397"/>
      <c r="Y784" s="397"/>
      <c r="Z784" s="397"/>
      <c r="AA784" s="397"/>
    </row>
    <row r="785" spans="2:27" x14ac:dyDescent="0.25">
      <c r="B785">
        <v>124</v>
      </c>
      <c r="C785" s="397" t="str">
        <f>IF('0_Dades generals organització'!H176="","",'0_Dades generals organització'!H176)</f>
        <v/>
      </c>
      <c r="D785" s="397" t="str">
        <f>IF(C785="","",IF('0_Dades generals organització'!J176="no","",Dades!C785))</f>
        <v/>
      </c>
      <c r="E785" s="397" t="str">
        <f>IFERROR(INDEX($D$662:$D$911,MATCH(0,INDEX(COUNTIF($E$661:E784,$D$662:$D$911),),)),"")</f>
        <v/>
      </c>
      <c r="F785" s="397"/>
      <c r="G785" s="397"/>
      <c r="H785" s="397"/>
      <c r="I785" s="397"/>
      <c r="J785" s="397"/>
      <c r="K785" s="397"/>
      <c r="L785" s="397"/>
      <c r="M785" s="397"/>
      <c r="N785" s="397"/>
      <c r="O785" s="397"/>
      <c r="P785" s="397"/>
      <c r="Q785" s="397"/>
      <c r="R785" s="397"/>
      <c r="S785" s="397"/>
      <c r="T785" s="397"/>
      <c r="U785" s="397"/>
      <c r="V785" s="397"/>
      <c r="W785" s="397"/>
      <c r="X785" s="397"/>
      <c r="Y785" s="397"/>
      <c r="Z785" s="397"/>
      <c r="AA785" s="397"/>
    </row>
    <row r="786" spans="2:27" x14ac:dyDescent="0.25">
      <c r="B786">
        <v>125</v>
      </c>
      <c r="C786" s="397" t="str">
        <f>IF('0_Dades generals organització'!H177="","",'0_Dades generals organització'!H177)</f>
        <v/>
      </c>
      <c r="D786" s="397" t="str">
        <f>IF(C786="","",IF('0_Dades generals organització'!J177="no","",Dades!C786))</f>
        <v/>
      </c>
      <c r="E786" s="397" t="str">
        <f>IFERROR(INDEX($D$662:$D$911,MATCH(0,INDEX(COUNTIF($E$661:E785,$D$662:$D$911),),)),"")</f>
        <v/>
      </c>
      <c r="F786" s="397"/>
      <c r="G786" s="397"/>
      <c r="H786" s="397"/>
      <c r="I786" s="397"/>
      <c r="J786" s="397"/>
      <c r="K786" s="397"/>
      <c r="L786" s="397"/>
      <c r="M786" s="397"/>
      <c r="N786" s="397"/>
      <c r="O786" s="397"/>
      <c r="P786" s="397"/>
      <c r="Q786" s="397"/>
      <c r="R786" s="397"/>
      <c r="S786" s="397"/>
      <c r="T786" s="397"/>
      <c r="U786" s="397"/>
      <c r="V786" s="397"/>
      <c r="W786" s="397"/>
      <c r="X786" s="397"/>
      <c r="Y786" s="397"/>
      <c r="Z786" s="397"/>
      <c r="AA786" s="397"/>
    </row>
    <row r="787" spans="2:27" x14ac:dyDescent="0.25">
      <c r="B787">
        <v>126</v>
      </c>
      <c r="C787" s="397" t="str">
        <f>IF('0_Dades generals organització'!H178="","",'0_Dades generals organització'!H178)</f>
        <v/>
      </c>
      <c r="D787" s="397" t="str">
        <f>IF(C787="","",IF('0_Dades generals organització'!J178="no","",Dades!C787))</f>
        <v/>
      </c>
      <c r="E787" s="397" t="str">
        <f>IFERROR(INDEX($D$662:$D$911,MATCH(0,INDEX(COUNTIF($E$661:E786,$D$662:$D$911),),)),"")</f>
        <v/>
      </c>
      <c r="F787" s="397"/>
      <c r="G787" s="397"/>
      <c r="H787" s="397"/>
      <c r="I787" s="397"/>
      <c r="J787" s="397"/>
      <c r="K787" s="397"/>
      <c r="L787" s="397"/>
      <c r="M787" s="397"/>
      <c r="N787" s="397"/>
      <c r="O787" s="397"/>
      <c r="P787" s="397"/>
      <c r="Q787" s="397"/>
      <c r="R787" s="397"/>
      <c r="S787" s="397"/>
      <c r="T787" s="397"/>
      <c r="U787" s="397"/>
      <c r="V787" s="397"/>
      <c r="W787" s="397"/>
      <c r="X787" s="397"/>
      <c r="Y787" s="397"/>
      <c r="Z787" s="397"/>
      <c r="AA787" s="397"/>
    </row>
    <row r="788" spans="2:27" x14ac:dyDescent="0.25">
      <c r="B788">
        <v>127</v>
      </c>
      <c r="C788" s="397" t="str">
        <f>IF('0_Dades generals organització'!H179="","",'0_Dades generals organització'!H179)</f>
        <v/>
      </c>
      <c r="D788" s="397" t="str">
        <f>IF(C788="","",IF('0_Dades generals organització'!J179="no","",Dades!C788))</f>
        <v/>
      </c>
      <c r="E788" s="397" t="str">
        <f>IFERROR(INDEX($D$662:$D$911,MATCH(0,INDEX(COUNTIF($E$661:E787,$D$662:$D$911),),)),"")</f>
        <v/>
      </c>
      <c r="F788" s="397"/>
      <c r="G788" s="397"/>
      <c r="H788" s="397"/>
      <c r="I788" s="397"/>
      <c r="J788" s="397"/>
      <c r="K788" s="397"/>
      <c r="L788" s="397"/>
      <c r="M788" s="397"/>
      <c r="N788" s="397"/>
      <c r="O788" s="397"/>
      <c r="P788" s="397"/>
      <c r="Q788" s="397"/>
      <c r="R788" s="397"/>
      <c r="S788" s="397"/>
      <c r="T788" s="397"/>
      <c r="U788" s="397"/>
      <c r="V788" s="397"/>
      <c r="W788" s="397"/>
      <c r="X788" s="397"/>
      <c r="Y788" s="397"/>
      <c r="Z788" s="397"/>
      <c r="AA788" s="397"/>
    </row>
    <row r="789" spans="2:27" x14ac:dyDescent="0.25">
      <c r="B789">
        <v>128</v>
      </c>
      <c r="C789" s="397" t="str">
        <f>IF('0_Dades generals organització'!H180="","",'0_Dades generals organització'!H180)</f>
        <v/>
      </c>
      <c r="D789" s="397" t="str">
        <f>IF(C789="","",IF('0_Dades generals organització'!J180="no","",Dades!C789))</f>
        <v/>
      </c>
      <c r="E789" s="397" t="str">
        <f>IFERROR(INDEX($D$662:$D$911,MATCH(0,INDEX(COUNTIF($E$661:E788,$D$662:$D$911),),)),"")</f>
        <v/>
      </c>
      <c r="F789" s="397"/>
      <c r="G789" s="397"/>
      <c r="H789" s="397"/>
      <c r="I789" s="397"/>
      <c r="J789" s="397"/>
      <c r="K789" s="397"/>
      <c r="L789" s="397"/>
      <c r="M789" s="397"/>
      <c r="N789" s="397"/>
      <c r="O789" s="397"/>
      <c r="P789" s="397"/>
      <c r="Q789" s="397"/>
      <c r="R789" s="397"/>
      <c r="S789" s="397"/>
      <c r="T789" s="397"/>
      <c r="U789" s="397"/>
      <c r="V789" s="397"/>
      <c r="W789" s="397"/>
      <c r="X789" s="397"/>
      <c r="Y789" s="397"/>
      <c r="Z789" s="397"/>
      <c r="AA789" s="397"/>
    </row>
    <row r="790" spans="2:27" x14ac:dyDescent="0.25">
      <c r="B790">
        <v>129</v>
      </c>
      <c r="C790" s="397" t="str">
        <f>IF('0_Dades generals organització'!H181="","",'0_Dades generals organització'!H181)</f>
        <v/>
      </c>
      <c r="D790" s="397" t="str">
        <f>IF(C790="","",IF('0_Dades generals organització'!J181="no","",Dades!C790))</f>
        <v/>
      </c>
      <c r="E790" s="397" t="str">
        <f>IFERROR(INDEX($D$662:$D$911,MATCH(0,INDEX(COUNTIF($E$661:E789,$D$662:$D$911),),)),"")</f>
        <v/>
      </c>
      <c r="F790" s="397"/>
      <c r="G790" s="397"/>
      <c r="H790" s="397"/>
      <c r="I790" s="397"/>
      <c r="J790" s="397"/>
      <c r="K790" s="397"/>
      <c r="L790" s="397"/>
      <c r="M790" s="397"/>
      <c r="N790" s="397"/>
      <c r="O790" s="397"/>
      <c r="P790" s="397"/>
      <c r="Q790" s="397"/>
      <c r="R790" s="397"/>
      <c r="S790" s="397"/>
      <c r="T790" s="397"/>
      <c r="U790" s="397"/>
      <c r="V790" s="397"/>
      <c r="W790" s="397"/>
      <c r="X790" s="397"/>
      <c r="Y790" s="397"/>
      <c r="Z790" s="397"/>
      <c r="AA790" s="397"/>
    </row>
    <row r="791" spans="2:27" x14ac:dyDescent="0.25">
      <c r="B791">
        <v>130</v>
      </c>
      <c r="C791" s="397" t="str">
        <f>IF('0_Dades generals organització'!H182="","",'0_Dades generals organització'!H182)</f>
        <v/>
      </c>
      <c r="D791" s="397" t="str">
        <f>IF(C791="","",IF('0_Dades generals organització'!J182="no","",Dades!C791))</f>
        <v/>
      </c>
      <c r="E791" s="397" t="str">
        <f>IFERROR(INDEX($D$662:$D$911,MATCH(0,INDEX(COUNTIF($E$661:E790,$D$662:$D$911),),)),"")</f>
        <v/>
      </c>
      <c r="F791" s="397"/>
      <c r="G791" s="397"/>
      <c r="H791" s="397"/>
      <c r="I791" s="397"/>
      <c r="J791" s="397"/>
      <c r="K791" s="397"/>
      <c r="L791" s="397"/>
      <c r="M791" s="397"/>
      <c r="N791" s="397"/>
      <c r="O791" s="397"/>
      <c r="P791" s="397"/>
      <c r="Q791" s="397"/>
      <c r="R791" s="397"/>
      <c r="S791" s="397"/>
      <c r="T791" s="397"/>
      <c r="U791" s="397"/>
      <c r="V791" s="397"/>
      <c r="W791" s="397"/>
      <c r="X791" s="397"/>
      <c r="Y791" s="397"/>
      <c r="Z791" s="397"/>
      <c r="AA791" s="397"/>
    </row>
    <row r="792" spans="2:27" x14ac:dyDescent="0.25">
      <c r="B792">
        <v>131</v>
      </c>
      <c r="C792" s="397" t="str">
        <f>IF('0_Dades generals organització'!H183="","",'0_Dades generals organització'!H183)</f>
        <v/>
      </c>
      <c r="D792" s="397" t="str">
        <f>IF(C792="","",IF('0_Dades generals organització'!J183="no","",Dades!C792))</f>
        <v/>
      </c>
      <c r="E792" s="397" t="str">
        <f>IFERROR(INDEX($D$662:$D$911,MATCH(0,INDEX(COUNTIF($E$661:E791,$D$662:$D$911),),)),"")</f>
        <v/>
      </c>
      <c r="F792" s="397"/>
      <c r="G792" s="397"/>
      <c r="H792" s="397"/>
      <c r="I792" s="397"/>
      <c r="J792" s="397"/>
      <c r="K792" s="397"/>
      <c r="L792" s="397"/>
      <c r="M792" s="397"/>
      <c r="N792" s="397"/>
      <c r="O792" s="397"/>
      <c r="P792" s="397"/>
      <c r="Q792" s="397"/>
      <c r="R792" s="397"/>
      <c r="S792" s="397"/>
      <c r="T792" s="397"/>
      <c r="U792" s="397"/>
      <c r="V792" s="397"/>
      <c r="W792" s="397"/>
      <c r="X792" s="397"/>
      <c r="Y792" s="397"/>
      <c r="Z792" s="397"/>
      <c r="AA792" s="397"/>
    </row>
    <row r="793" spans="2:27" x14ac:dyDescent="0.25">
      <c r="B793">
        <v>132</v>
      </c>
      <c r="C793" s="397" t="str">
        <f>IF('0_Dades generals organització'!H184="","",'0_Dades generals organització'!H184)</f>
        <v/>
      </c>
      <c r="D793" s="397" t="str">
        <f>IF(C793="","",IF('0_Dades generals organització'!J184="no","",Dades!C793))</f>
        <v/>
      </c>
      <c r="E793" s="397" t="str">
        <f>IFERROR(INDEX($D$662:$D$911,MATCH(0,INDEX(COUNTIF($E$661:E792,$D$662:$D$911),),)),"")</f>
        <v/>
      </c>
    </row>
    <row r="794" spans="2:27" x14ac:dyDescent="0.25">
      <c r="B794">
        <v>133</v>
      </c>
      <c r="C794" s="397" t="str">
        <f>IF('0_Dades generals organització'!H185="","",'0_Dades generals organització'!H185)</f>
        <v/>
      </c>
      <c r="D794" s="397" t="str">
        <f>IF(C794="","",IF('0_Dades generals organització'!J185="no","",Dades!C794))</f>
        <v/>
      </c>
      <c r="E794" s="397" t="str">
        <f>IFERROR(INDEX($D$662:$D$911,MATCH(0,INDEX(COUNTIF($E$661:E793,$D$662:$D$911),),)),"")</f>
        <v/>
      </c>
    </row>
    <row r="795" spans="2:27" x14ac:dyDescent="0.25">
      <c r="B795">
        <v>134</v>
      </c>
      <c r="C795" s="397" t="str">
        <f>IF('0_Dades generals organització'!H186="","",'0_Dades generals organització'!H186)</f>
        <v/>
      </c>
      <c r="D795" s="397" t="str">
        <f>IF(C795="","",IF('0_Dades generals organització'!J186="no","",Dades!C795))</f>
        <v/>
      </c>
      <c r="E795" s="397" t="str">
        <f>IFERROR(INDEX($D$662:$D$911,MATCH(0,INDEX(COUNTIF($E$661:E794,$D$662:$D$911),),)),"")</f>
        <v/>
      </c>
    </row>
    <row r="796" spans="2:27" x14ac:dyDescent="0.25">
      <c r="B796">
        <v>135</v>
      </c>
      <c r="C796" s="397" t="str">
        <f>IF('0_Dades generals organització'!H187="","",'0_Dades generals organització'!H187)</f>
        <v/>
      </c>
      <c r="D796" s="397" t="str">
        <f>IF(C796="","",IF('0_Dades generals organització'!J187="no","",Dades!C796))</f>
        <v/>
      </c>
      <c r="E796" s="397" t="str">
        <f>IFERROR(INDEX($D$662:$D$911,MATCH(0,INDEX(COUNTIF($E$661:E795,$D$662:$D$911),),)),"")</f>
        <v/>
      </c>
    </row>
    <row r="797" spans="2:27" x14ac:dyDescent="0.25">
      <c r="B797">
        <v>136</v>
      </c>
      <c r="C797" s="397" t="str">
        <f>IF('0_Dades generals organització'!H188="","",'0_Dades generals organització'!H188)</f>
        <v/>
      </c>
      <c r="D797" s="397" t="str">
        <f>IF(C797="","",IF('0_Dades generals organització'!J188="no","",Dades!C797))</f>
        <v/>
      </c>
      <c r="E797" s="397" t="str">
        <f>IFERROR(INDEX($D$662:$D$911,MATCH(0,INDEX(COUNTIF($E$661:E796,$D$662:$D$911),),)),"")</f>
        <v/>
      </c>
    </row>
    <row r="798" spans="2:27" x14ac:dyDescent="0.25">
      <c r="B798">
        <v>137</v>
      </c>
      <c r="C798" s="397" t="str">
        <f>IF('0_Dades generals organització'!H189="","",'0_Dades generals organització'!H189)</f>
        <v/>
      </c>
      <c r="D798" s="397" t="str">
        <f>IF(C798="","",IF('0_Dades generals organització'!J189="no","",Dades!C798))</f>
        <v/>
      </c>
      <c r="E798" s="397" t="str">
        <f>IFERROR(INDEX($D$662:$D$911,MATCH(0,INDEX(COUNTIF($E$661:E797,$D$662:$D$911),),)),"")</f>
        <v/>
      </c>
    </row>
    <row r="799" spans="2:27" x14ac:dyDescent="0.25">
      <c r="B799">
        <v>138</v>
      </c>
      <c r="C799" s="397" t="str">
        <f>IF('0_Dades generals organització'!H190="","",'0_Dades generals organització'!H190)</f>
        <v/>
      </c>
      <c r="D799" s="397" t="str">
        <f>IF(C799="","",IF('0_Dades generals organització'!J190="no","",Dades!C799))</f>
        <v/>
      </c>
      <c r="E799" s="397" t="str">
        <f>IFERROR(INDEX($D$662:$D$911,MATCH(0,INDEX(COUNTIF($E$661:E798,$D$662:$D$911),),)),"")</f>
        <v/>
      </c>
    </row>
    <row r="800" spans="2:27" x14ac:dyDescent="0.25">
      <c r="B800">
        <v>139</v>
      </c>
      <c r="C800" s="397" t="str">
        <f>IF('0_Dades generals organització'!H191="","",'0_Dades generals organització'!H191)</f>
        <v/>
      </c>
      <c r="D800" s="397" t="str">
        <f>IF(C800="","",IF('0_Dades generals organització'!J191="no","",Dades!C800))</f>
        <v/>
      </c>
      <c r="E800" s="397" t="str">
        <f>IFERROR(INDEX($D$662:$D$911,MATCH(0,INDEX(COUNTIF($E$661:E799,$D$662:$D$911),),)),"")</f>
        <v/>
      </c>
    </row>
    <row r="801" spans="2:5" x14ac:dyDescent="0.25">
      <c r="B801">
        <v>140</v>
      </c>
      <c r="C801" s="397" t="str">
        <f>IF('0_Dades generals organització'!H192="","",'0_Dades generals organització'!H192)</f>
        <v/>
      </c>
      <c r="D801" s="397" t="str">
        <f>IF(C801="","",IF('0_Dades generals organització'!J192="no","",Dades!C801))</f>
        <v/>
      </c>
      <c r="E801" s="397" t="str">
        <f>IFERROR(INDEX($D$662:$D$911,MATCH(0,INDEX(COUNTIF($E$661:E800,$D$662:$D$911),),)),"")</f>
        <v/>
      </c>
    </row>
    <row r="802" spans="2:5" x14ac:dyDescent="0.25">
      <c r="B802">
        <v>141</v>
      </c>
      <c r="C802" s="397" t="str">
        <f>IF('0_Dades generals organització'!H193="","",'0_Dades generals organització'!H193)</f>
        <v/>
      </c>
      <c r="D802" s="397" t="str">
        <f>IF(C802="","",IF('0_Dades generals organització'!J193="no","",Dades!C802))</f>
        <v/>
      </c>
      <c r="E802" s="397" t="str">
        <f>IFERROR(INDEX($D$662:$D$911,MATCH(0,INDEX(COUNTIF($E$661:E801,$D$662:$D$911),),)),"")</f>
        <v/>
      </c>
    </row>
    <row r="803" spans="2:5" x14ac:dyDescent="0.25">
      <c r="B803">
        <v>142</v>
      </c>
      <c r="C803" s="397" t="str">
        <f>IF('0_Dades generals organització'!H194="","",'0_Dades generals organització'!H194)</f>
        <v/>
      </c>
      <c r="D803" s="397" t="str">
        <f>IF(C803="","",IF('0_Dades generals organització'!J194="no","",Dades!C803))</f>
        <v/>
      </c>
      <c r="E803" s="397" t="str">
        <f>IFERROR(INDEX($D$662:$D$911,MATCH(0,INDEX(COUNTIF($E$661:E802,$D$662:$D$911),),)),"")</f>
        <v/>
      </c>
    </row>
    <row r="804" spans="2:5" x14ac:dyDescent="0.25">
      <c r="B804">
        <v>143</v>
      </c>
      <c r="C804" s="397" t="str">
        <f>IF('0_Dades generals organització'!H195="","",'0_Dades generals organització'!H195)</f>
        <v/>
      </c>
      <c r="D804" s="397" t="str">
        <f>IF(C804="","",IF('0_Dades generals organització'!J195="no","",Dades!C804))</f>
        <v/>
      </c>
      <c r="E804" s="397" t="str">
        <f>IFERROR(INDEX($D$662:$D$911,MATCH(0,INDEX(COUNTIF($E$661:E803,$D$662:$D$911),),)),"")</f>
        <v/>
      </c>
    </row>
    <row r="805" spans="2:5" x14ac:dyDescent="0.25">
      <c r="B805">
        <v>144</v>
      </c>
      <c r="C805" s="397" t="str">
        <f>IF('0_Dades generals organització'!H196="","",'0_Dades generals organització'!H196)</f>
        <v/>
      </c>
      <c r="D805" s="397" t="str">
        <f>IF(C805="","",IF('0_Dades generals organització'!J196="no","",Dades!C805))</f>
        <v/>
      </c>
      <c r="E805" s="397" t="str">
        <f>IFERROR(INDEX($D$662:$D$911,MATCH(0,INDEX(COUNTIF($E$661:E804,$D$662:$D$911),),)),"")</f>
        <v/>
      </c>
    </row>
    <row r="806" spans="2:5" x14ac:dyDescent="0.25">
      <c r="B806">
        <v>145</v>
      </c>
      <c r="C806" s="397" t="str">
        <f>IF('0_Dades generals organització'!H197="","",'0_Dades generals organització'!H197)</f>
        <v/>
      </c>
      <c r="D806" s="397" t="str">
        <f>IF(C806="","",IF('0_Dades generals organització'!J197="no","",Dades!C806))</f>
        <v/>
      </c>
      <c r="E806" s="397" t="str">
        <f>IFERROR(INDEX($D$662:$D$911,MATCH(0,INDEX(COUNTIF($E$661:E805,$D$662:$D$911),),)),"")</f>
        <v/>
      </c>
    </row>
    <row r="807" spans="2:5" x14ac:dyDescent="0.25">
      <c r="B807">
        <v>146</v>
      </c>
      <c r="C807" s="397" t="str">
        <f>IF('0_Dades generals organització'!H198="","",'0_Dades generals organització'!H198)</f>
        <v/>
      </c>
      <c r="D807" s="397" t="str">
        <f>IF(C807="","",IF('0_Dades generals organització'!J198="no","",Dades!C807))</f>
        <v/>
      </c>
      <c r="E807" s="397" t="str">
        <f>IFERROR(INDEX($D$662:$D$911,MATCH(0,INDEX(COUNTIF($E$661:E806,$D$662:$D$911),),)),"")</f>
        <v/>
      </c>
    </row>
    <row r="808" spans="2:5" x14ac:dyDescent="0.25">
      <c r="B808">
        <v>147</v>
      </c>
      <c r="C808" s="397" t="str">
        <f>IF('0_Dades generals organització'!H199="","",'0_Dades generals organització'!H199)</f>
        <v/>
      </c>
      <c r="D808" s="397" t="str">
        <f>IF(C808="","",IF('0_Dades generals organització'!J199="no","",Dades!C808))</f>
        <v/>
      </c>
      <c r="E808" s="397" t="str">
        <f>IFERROR(INDEX($D$662:$D$911,MATCH(0,INDEX(COUNTIF($E$661:E807,$D$662:$D$911),),)),"")</f>
        <v/>
      </c>
    </row>
    <row r="809" spans="2:5" x14ac:dyDescent="0.25">
      <c r="B809">
        <v>148</v>
      </c>
      <c r="C809" s="397" t="str">
        <f>IF('0_Dades generals organització'!H200="","",'0_Dades generals organització'!H200)</f>
        <v/>
      </c>
      <c r="D809" s="397" t="str">
        <f>IF(C809="","",IF('0_Dades generals organització'!J200="no","",Dades!C809))</f>
        <v/>
      </c>
      <c r="E809" s="397" t="str">
        <f>IFERROR(INDEX($D$662:$D$911,MATCH(0,INDEX(COUNTIF($E$661:E808,$D$662:$D$911),),)),"")</f>
        <v/>
      </c>
    </row>
    <row r="810" spans="2:5" x14ac:dyDescent="0.25">
      <c r="B810">
        <v>149</v>
      </c>
      <c r="C810" s="397" t="str">
        <f>IF('0_Dades generals organització'!H201="","",'0_Dades generals organització'!H201)</f>
        <v/>
      </c>
      <c r="D810" s="397" t="str">
        <f>IF(C810="","",IF('0_Dades generals organització'!J201="no","",Dades!C810))</f>
        <v/>
      </c>
      <c r="E810" s="397" t="str">
        <f>IFERROR(INDEX($D$662:$D$911,MATCH(0,INDEX(COUNTIF($E$661:E809,$D$662:$D$911),),)),"")</f>
        <v/>
      </c>
    </row>
    <row r="811" spans="2:5" x14ac:dyDescent="0.25">
      <c r="B811">
        <v>150</v>
      </c>
      <c r="C811" s="397" t="str">
        <f>IF('0_Dades generals organització'!H202="","",'0_Dades generals organització'!H202)</f>
        <v/>
      </c>
      <c r="D811" s="397" t="str">
        <f>IF(C811="","",IF('0_Dades generals organització'!J202="no","",Dades!C811))</f>
        <v/>
      </c>
      <c r="E811" s="397" t="str">
        <f>IFERROR(INDEX($D$662:$D$911,MATCH(0,INDEX(COUNTIF($E$661:E810,$D$662:$D$911),),)),"")</f>
        <v/>
      </c>
    </row>
    <row r="812" spans="2:5" x14ac:dyDescent="0.25">
      <c r="B812">
        <v>151</v>
      </c>
      <c r="C812" s="397" t="str">
        <f>IF('0_Dades generals organització'!H203="","",'0_Dades generals organització'!H203)</f>
        <v/>
      </c>
      <c r="D812" s="397" t="str">
        <f>IF(C812="","",IF('0_Dades generals organització'!J203="no","",Dades!C812))</f>
        <v/>
      </c>
      <c r="E812" s="397" t="str">
        <f>IFERROR(INDEX($D$662:$D$911,MATCH(0,INDEX(COUNTIF($E$661:E811,$D$662:$D$911),),)),"")</f>
        <v/>
      </c>
    </row>
    <row r="813" spans="2:5" x14ac:dyDescent="0.25">
      <c r="B813">
        <v>152</v>
      </c>
      <c r="C813" s="397" t="str">
        <f>IF('0_Dades generals organització'!H204="","",'0_Dades generals organització'!H204)</f>
        <v/>
      </c>
      <c r="D813" s="397" t="str">
        <f>IF(C813="","",IF('0_Dades generals organització'!J204="no","",Dades!C813))</f>
        <v/>
      </c>
      <c r="E813" s="397" t="str">
        <f>IFERROR(INDEX($D$662:$D$911,MATCH(0,INDEX(COUNTIF($E$661:E812,$D$662:$D$911),),)),"")</f>
        <v/>
      </c>
    </row>
    <row r="814" spans="2:5" x14ac:dyDescent="0.25">
      <c r="B814">
        <v>153</v>
      </c>
      <c r="C814" s="397" t="str">
        <f>IF('0_Dades generals organització'!H205="","",'0_Dades generals organització'!H205)</f>
        <v/>
      </c>
      <c r="D814" s="397" t="str">
        <f>IF(C814="","",IF('0_Dades generals organització'!J205="no","",Dades!C814))</f>
        <v/>
      </c>
      <c r="E814" s="397" t="str">
        <f>IFERROR(INDEX($D$662:$D$911,MATCH(0,INDEX(COUNTIF($E$661:E813,$D$662:$D$911),),)),"")</f>
        <v/>
      </c>
    </row>
    <row r="815" spans="2:5" x14ac:dyDescent="0.25">
      <c r="B815">
        <v>154</v>
      </c>
      <c r="C815" s="397" t="str">
        <f>IF('0_Dades generals organització'!H206="","",'0_Dades generals organització'!H206)</f>
        <v/>
      </c>
      <c r="D815" s="397" t="str">
        <f>IF(C815="","",IF('0_Dades generals organització'!J206="no","",Dades!C815))</f>
        <v/>
      </c>
      <c r="E815" s="397" t="str">
        <f>IFERROR(INDEX($D$662:$D$911,MATCH(0,INDEX(COUNTIF($E$661:E814,$D$662:$D$911),),)),"")</f>
        <v/>
      </c>
    </row>
    <row r="816" spans="2:5" x14ac:dyDescent="0.25">
      <c r="B816">
        <v>155</v>
      </c>
      <c r="C816" s="397" t="str">
        <f>IF('0_Dades generals organització'!H207="","",'0_Dades generals organització'!H207)</f>
        <v/>
      </c>
      <c r="D816" s="397" t="str">
        <f>IF(C816="","",IF('0_Dades generals organització'!J207="no","",Dades!C816))</f>
        <v/>
      </c>
      <c r="E816" s="397" t="str">
        <f>IFERROR(INDEX($D$662:$D$911,MATCH(0,INDEX(COUNTIF($E$661:E815,$D$662:$D$911),),)),"")</f>
        <v/>
      </c>
    </row>
    <row r="817" spans="2:5" x14ac:dyDescent="0.25">
      <c r="B817">
        <v>156</v>
      </c>
      <c r="C817" s="397" t="str">
        <f>IF('0_Dades generals organització'!H208="","",'0_Dades generals organització'!H208)</f>
        <v/>
      </c>
      <c r="D817" s="397" t="str">
        <f>IF(C817="","",IF('0_Dades generals organització'!J208="no","",Dades!C817))</f>
        <v/>
      </c>
      <c r="E817" s="397" t="str">
        <f>IFERROR(INDEX($D$662:$D$911,MATCH(0,INDEX(COUNTIF($E$661:E816,$D$662:$D$911),),)),"")</f>
        <v/>
      </c>
    </row>
    <row r="818" spans="2:5" x14ac:dyDescent="0.25">
      <c r="B818">
        <v>157</v>
      </c>
      <c r="C818" s="397" t="str">
        <f>IF('0_Dades generals organització'!H209="","",'0_Dades generals organització'!H209)</f>
        <v/>
      </c>
      <c r="D818" s="397" t="str">
        <f>IF(C818="","",IF('0_Dades generals organització'!J209="no","",Dades!C818))</f>
        <v/>
      </c>
      <c r="E818" s="397" t="str">
        <f>IFERROR(INDEX($D$662:$D$911,MATCH(0,INDEX(COUNTIF($E$661:E817,$D$662:$D$911),),)),"")</f>
        <v/>
      </c>
    </row>
    <row r="819" spans="2:5" x14ac:dyDescent="0.25">
      <c r="B819">
        <v>158</v>
      </c>
      <c r="C819" s="397" t="str">
        <f>IF('0_Dades generals organització'!H210="","",'0_Dades generals organització'!H210)</f>
        <v/>
      </c>
      <c r="D819" s="397" t="str">
        <f>IF(C819="","",IF('0_Dades generals organització'!J210="no","",Dades!C819))</f>
        <v/>
      </c>
      <c r="E819" s="397" t="str">
        <f>IFERROR(INDEX($D$662:$D$911,MATCH(0,INDEX(COUNTIF($E$661:E818,$D$662:$D$911),),)),"")</f>
        <v/>
      </c>
    </row>
    <row r="820" spans="2:5" x14ac:dyDescent="0.25">
      <c r="B820">
        <v>159</v>
      </c>
      <c r="C820" s="397" t="str">
        <f>IF('0_Dades generals organització'!H211="","",'0_Dades generals organització'!H211)</f>
        <v/>
      </c>
      <c r="D820" s="397" t="str">
        <f>IF(C820="","",IF('0_Dades generals organització'!J211="no","",Dades!C820))</f>
        <v/>
      </c>
      <c r="E820" s="397" t="str">
        <f>IFERROR(INDEX($D$662:$D$911,MATCH(0,INDEX(COUNTIF($E$661:E819,$D$662:$D$911),),)),"")</f>
        <v/>
      </c>
    </row>
    <row r="821" spans="2:5" x14ac:dyDescent="0.25">
      <c r="B821">
        <v>160</v>
      </c>
      <c r="C821" s="397" t="str">
        <f>IF('0_Dades generals organització'!H212="","",'0_Dades generals organització'!H212)</f>
        <v/>
      </c>
      <c r="D821" s="397" t="str">
        <f>IF(C821="","",IF('0_Dades generals organització'!J212="no","",Dades!C821))</f>
        <v/>
      </c>
      <c r="E821" s="397" t="str">
        <f>IFERROR(INDEX($D$662:$D$911,MATCH(0,INDEX(COUNTIF($E$661:E820,$D$662:$D$911),),)),"")</f>
        <v/>
      </c>
    </row>
    <row r="822" spans="2:5" x14ac:dyDescent="0.25">
      <c r="B822">
        <v>161</v>
      </c>
      <c r="C822" s="397" t="str">
        <f>IF('0_Dades generals organització'!H213="","",'0_Dades generals organització'!H213)</f>
        <v/>
      </c>
      <c r="D822" s="397" t="str">
        <f>IF(C822="","",IF('0_Dades generals organització'!J213="no","",Dades!C822))</f>
        <v/>
      </c>
      <c r="E822" s="397" t="str">
        <f>IFERROR(INDEX($D$662:$D$911,MATCH(0,INDEX(COUNTIF($E$661:E821,$D$662:$D$911),),)),"")</f>
        <v/>
      </c>
    </row>
    <row r="823" spans="2:5" x14ac:dyDescent="0.25">
      <c r="B823">
        <v>162</v>
      </c>
      <c r="C823" s="397" t="str">
        <f>IF('0_Dades generals organització'!H214="","",'0_Dades generals organització'!H214)</f>
        <v/>
      </c>
      <c r="D823" s="397" t="str">
        <f>IF(C823="","",IF('0_Dades generals organització'!J214="no","",Dades!C823))</f>
        <v/>
      </c>
      <c r="E823" s="397" t="str">
        <f>IFERROR(INDEX($D$662:$D$911,MATCH(0,INDEX(COUNTIF($E$661:E822,$D$662:$D$911),),)),"")</f>
        <v/>
      </c>
    </row>
    <row r="824" spans="2:5" x14ac:dyDescent="0.25">
      <c r="B824">
        <v>163</v>
      </c>
      <c r="C824" s="397" t="str">
        <f>IF('0_Dades generals organització'!H215="","",'0_Dades generals organització'!H215)</f>
        <v/>
      </c>
      <c r="D824" s="397" t="str">
        <f>IF(C824="","",IF('0_Dades generals organització'!J215="no","",Dades!C824))</f>
        <v/>
      </c>
      <c r="E824" s="397" t="str">
        <f>IFERROR(INDEX($D$662:$D$911,MATCH(0,INDEX(COUNTIF($E$661:E823,$D$662:$D$911),),)),"")</f>
        <v/>
      </c>
    </row>
    <row r="825" spans="2:5" x14ac:dyDescent="0.25">
      <c r="B825">
        <v>164</v>
      </c>
      <c r="C825" s="397" t="str">
        <f>IF('0_Dades generals organització'!H216="","",'0_Dades generals organització'!H216)</f>
        <v/>
      </c>
      <c r="D825" s="397" t="str">
        <f>IF(C825="","",IF('0_Dades generals organització'!J216="no","",Dades!C825))</f>
        <v/>
      </c>
      <c r="E825" s="397" t="str">
        <f>IFERROR(INDEX($D$662:$D$911,MATCH(0,INDEX(COUNTIF($E$661:E824,$D$662:$D$911),),)),"")</f>
        <v/>
      </c>
    </row>
    <row r="826" spans="2:5" x14ac:dyDescent="0.25">
      <c r="B826">
        <v>165</v>
      </c>
      <c r="C826" s="397" t="str">
        <f>IF('0_Dades generals organització'!H217="","",'0_Dades generals organització'!H217)</f>
        <v/>
      </c>
      <c r="D826" s="397" t="str">
        <f>IF(C826="","",IF('0_Dades generals organització'!J217="no","",Dades!C826))</f>
        <v/>
      </c>
      <c r="E826" s="397" t="str">
        <f>IFERROR(INDEX($D$662:$D$911,MATCH(0,INDEX(COUNTIF($E$661:E825,$D$662:$D$911),),)),"")</f>
        <v/>
      </c>
    </row>
    <row r="827" spans="2:5" x14ac:dyDescent="0.25">
      <c r="B827">
        <v>166</v>
      </c>
      <c r="C827" s="397" t="str">
        <f>IF('0_Dades generals organització'!H218="","",'0_Dades generals organització'!H218)</f>
        <v/>
      </c>
      <c r="D827" s="397" t="str">
        <f>IF(C827="","",IF('0_Dades generals organització'!J218="no","",Dades!C827))</f>
        <v/>
      </c>
      <c r="E827" s="397" t="str">
        <f>IFERROR(INDEX($D$662:$D$911,MATCH(0,INDEX(COUNTIF($E$661:E826,$D$662:$D$911),),)),"")</f>
        <v/>
      </c>
    </row>
    <row r="828" spans="2:5" x14ac:dyDescent="0.25">
      <c r="B828">
        <v>167</v>
      </c>
      <c r="C828" s="397" t="str">
        <f>IF('0_Dades generals organització'!H219="","",'0_Dades generals organització'!H219)</f>
        <v/>
      </c>
      <c r="D828" s="397" t="str">
        <f>IF(C828="","",IF('0_Dades generals organització'!J219="no","",Dades!C828))</f>
        <v/>
      </c>
      <c r="E828" s="397" t="str">
        <f>IFERROR(INDEX($D$662:$D$911,MATCH(0,INDEX(COUNTIF($E$661:E827,$D$662:$D$911),),)),"")</f>
        <v/>
      </c>
    </row>
    <row r="829" spans="2:5" x14ac:dyDescent="0.25">
      <c r="B829">
        <v>168</v>
      </c>
      <c r="C829" s="397" t="str">
        <f>IF('0_Dades generals organització'!H220="","",'0_Dades generals organització'!H220)</f>
        <v/>
      </c>
      <c r="D829" s="397" t="str">
        <f>IF(C829="","",IF('0_Dades generals organització'!J220="no","",Dades!C829))</f>
        <v/>
      </c>
      <c r="E829" s="397" t="str">
        <f>IFERROR(INDEX($D$662:$D$911,MATCH(0,INDEX(COUNTIF($E$661:E828,$D$662:$D$911),),)),"")</f>
        <v/>
      </c>
    </row>
    <row r="830" spans="2:5" x14ac:dyDescent="0.25">
      <c r="B830">
        <v>169</v>
      </c>
      <c r="C830" s="397" t="str">
        <f>IF('0_Dades generals organització'!H221="","",'0_Dades generals organització'!H221)</f>
        <v/>
      </c>
      <c r="D830" s="397" t="str">
        <f>IF(C830="","",IF('0_Dades generals organització'!J221="no","",Dades!C830))</f>
        <v/>
      </c>
      <c r="E830" s="397" t="str">
        <f>IFERROR(INDEX($D$662:$D$911,MATCH(0,INDEX(COUNTIF($E$661:E829,$D$662:$D$911),),)),"")</f>
        <v/>
      </c>
    </row>
    <row r="831" spans="2:5" x14ac:dyDescent="0.25">
      <c r="B831">
        <v>170</v>
      </c>
      <c r="C831" s="397" t="str">
        <f>IF('0_Dades generals organització'!H222="","",'0_Dades generals organització'!H222)</f>
        <v/>
      </c>
      <c r="D831" s="397" t="str">
        <f>IF(C831="","",IF('0_Dades generals organització'!J222="no","",Dades!C831))</f>
        <v/>
      </c>
      <c r="E831" s="397" t="str">
        <f>IFERROR(INDEX($D$662:$D$911,MATCH(0,INDEX(COUNTIF($E$661:E830,$D$662:$D$911),),)),"")</f>
        <v/>
      </c>
    </row>
    <row r="832" spans="2:5" x14ac:dyDescent="0.25">
      <c r="B832">
        <v>171</v>
      </c>
      <c r="C832" s="397" t="str">
        <f>IF('0_Dades generals organització'!H223="","",'0_Dades generals organització'!H223)</f>
        <v/>
      </c>
      <c r="D832" s="397" t="str">
        <f>IF(C832="","",IF('0_Dades generals organització'!J223="no","",Dades!C832))</f>
        <v/>
      </c>
      <c r="E832" s="397" t="str">
        <f>IFERROR(INDEX($D$662:$D$911,MATCH(0,INDEX(COUNTIF($E$661:E831,$D$662:$D$911),),)),"")</f>
        <v/>
      </c>
    </row>
    <row r="833" spans="2:5" x14ac:dyDescent="0.25">
      <c r="B833">
        <v>172</v>
      </c>
      <c r="C833" s="397" t="str">
        <f>IF('0_Dades generals organització'!H224="","",'0_Dades generals organització'!H224)</f>
        <v/>
      </c>
      <c r="D833" s="397" t="str">
        <f>IF(C833="","",IF('0_Dades generals organització'!J224="no","",Dades!C833))</f>
        <v/>
      </c>
      <c r="E833" s="397" t="str">
        <f>IFERROR(INDEX($D$662:$D$911,MATCH(0,INDEX(COUNTIF($E$661:E832,$D$662:$D$911),),)),"")</f>
        <v/>
      </c>
    </row>
    <row r="834" spans="2:5" x14ac:dyDescent="0.25">
      <c r="B834">
        <v>173</v>
      </c>
      <c r="C834" s="397" t="str">
        <f>IF('0_Dades generals organització'!H225="","",'0_Dades generals organització'!H225)</f>
        <v/>
      </c>
      <c r="D834" s="397" t="str">
        <f>IF(C834="","",IF('0_Dades generals organització'!J225="no","",Dades!C834))</f>
        <v/>
      </c>
      <c r="E834" s="397" t="str">
        <f>IFERROR(INDEX($D$662:$D$911,MATCH(0,INDEX(COUNTIF($E$661:E833,$D$662:$D$911),),)),"")</f>
        <v/>
      </c>
    </row>
    <row r="835" spans="2:5" x14ac:dyDescent="0.25">
      <c r="B835">
        <v>174</v>
      </c>
      <c r="C835" s="397" t="str">
        <f>IF('0_Dades generals organització'!H226="","",'0_Dades generals organització'!H226)</f>
        <v/>
      </c>
      <c r="D835" s="397" t="str">
        <f>IF(C835="","",IF('0_Dades generals organització'!J226="no","",Dades!C835))</f>
        <v/>
      </c>
      <c r="E835" s="397" t="str">
        <f>IFERROR(INDEX($D$662:$D$911,MATCH(0,INDEX(COUNTIF($E$661:E834,$D$662:$D$911),),)),"")</f>
        <v/>
      </c>
    </row>
    <row r="836" spans="2:5" x14ac:dyDescent="0.25">
      <c r="B836">
        <v>175</v>
      </c>
      <c r="C836" s="397" t="str">
        <f>IF('0_Dades generals organització'!H227="","",'0_Dades generals organització'!H227)</f>
        <v/>
      </c>
      <c r="D836" s="397" t="str">
        <f>IF(C836="","",IF('0_Dades generals organització'!J227="no","",Dades!C836))</f>
        <v/>
      </c>
      <c r="E836" s="397" t="str">
        <f>IFERROR(INDEX($D$662:$D$911,MATCH(0,INDEX(COUNTIF($E$661:E835,$D$662:$D$911),),)),"")</f>
        <v/>
      </c>
    </row>
    <row r="837" spans="2:5" x14ac:dyDescent="0.25">
      <c r="B837">
        <v>176</v>
      </c>
      <c r="C837" s="397" t="str">
        <f>IF('0_Dades generals organització'!H228="","",'0_Dades generals organització'!H228)</f>
        <v/>
      </c>
      <c r="D837" s="397" t="str">
        <f>IF(C837="","",IF('0_Dades generals organització'!J228="no","",Dades!C837))</f>
        <v/>
      </c>
      <c r="E837" s="397" t="str">
        <f>IFERROR(INDEX($D$662:$D$911,MATCH(0,INDEX(COUNTIF($E$661:E836,$D$662:$D$911),),)),"")</f>
        <v/>
      </c>
    </row>
    <row r="838" spans="2:5" x14ac:dyDescent="0.25">
      <c r="B838">
        <v>177</v>
      </c>
      <c r="C838" s="397" t="str">
        <f>IF('0_Dades generals organització'!H229="","",'0_Dades generals organització'!H229)</f>
        <v/>
      </c>
      <c r="D838" s="397" t="str">
        <f>IF(C838="","",IF('0_Dades generals organització'!J229="no","",Dades!C838))</f>
        <v/>
      </c>
      <c r="E838" s="397" t="str">
        <f>IFERROR(INDEX($D$662:$D$911,MATCH(0,INDEX(COUNTIF($E$661:E837,$D$662:$D$911),),)),"")</f>
        <v/>
      </c>
    </row>
    <row r="839" spans="2:5" x14ac:dyDescent="0.25">
      <c r="B839">
        <v>178</v>
      </c>
      <c r="C839" s="397" t="str">
        <f>IF('0_Dades generals organització'!H230="","",'0_Dades generals organització'!H230)</f>
        <v/>
      </c>
      <c r="D839" s="397" t="str">
        <f>IF(C839="","",IF('0_Dades generals organització'!J230="no","",Dades!C839))</f>
        <v/>
      </c>
      <c r="E839" s="397" t="str">
        <f>IFERROR(INDEX($D$662:$D$911,MATCH(0,INDEX(COUNTIF($E$661:E838,$D$662:$D$911),),)),"")</f>
        <v/>
      </c>
    </row>
    <row r="840" spans="2:5" x14ac:dyDescent="0.25">
      <c r="B840">
        <v>179</v>
      </c>
      <c r="C840" s="397" t="str">
        <f>IF('0_Dades generals organització'!H231="","",'0_Dades generals organització'!H231)</f>
        <v/>
      </c>
      <c r="D840" s="397" t="str">
        <f>IF(C840="","",IF('0_Dades generals organització'!J231="no","",Dades!C840))</f>
        <v/>
      </c>
      <c r="E840" s="397" t="str">
        <f>IFERROR(INDEX($D$662:$D$911,MATCH(0,INDEX(COUNTIF($E$661:E839,$D$662:$D$911),),)),"")</f>
        <v/>
      </c>
    </row>
    <row r="841" spans="2:5" x14ac:dyDescent="0.25">
      <c r="B841">
        <v>180</v>
      </c>
      <c r="C841" s="397" t="str">
        <f>IF('0_Dades generals organització'!H232="","",'0_Dades generals organització'!H232)</f>
        <v/>
      </c>
      <c r="D841" s="397" t="str">
        <f>IF(C841="","",IF('0_Dades generals organització'!J232="no","",Dades!C841))</f>
        <v/>
      </c>
      <c r="E841" s="397" t="str">
        <f>IFERROR(INDEX($D$662:$D$911,MATCH(0,INDEX(COUNTIF($E$661:E840,$D$662:$D$911),),)),"")</f>
        <v/>
      </c>
    </row>
    <row r="842" spans="2:5" x14ac:dyDescent="0.25">
      <c r="B842">
        <v>181</v>
      </c>
      <c r="C842" s="397" t="str">
        <f>IF('0_Dades generals organització'!H233="","",'0_Dades generals organització'!H233)</f>
        <v/>
      </c>
      <c r="D842" s="397" t="str">
        <f>IF(C842="","",IF('0_Dades generals organització'!J233="no","",Dades!C842))</f>
        <v/>
      </c>
      <c r="E842" s="397" t="str">
        <f>IFERROR(INDEX($D$662:$D$911,MATCH(0,INDEX(COUNTIF($E$661:E841,$D$662:$D$911),),)),"")</f>
        <v/>
      </c>
    </row>
    <row r="843" spans="2:5" x14ac:dyDescent="0.25">
      <c r="B843">
        <v>182</v>
      </c>
      <c r="C843" s="397" t="str">
        <f>IF('0_Dades generals organització'!H234="","",'0_Dades generals organització'!H234)</f>
        <v/>
      </c>
      <c r="D843" s="397" t="str">
        <f>IF(C843="","",IF('0_Dades generals organització'!J234="no","",Dades!C843))</f>
        <v/>
      </c>
      <c r="E843" s="397" t="str">
        <f>IFERROR(INDEX($D$662:$D$911,MATCH(0,INDEX(COUNTIF($E$661:E842,$D$662:$D$911),),)),"")</f>
        <v/>
      </c>
    </row>
    <row r="844" spans="2:5" x14ac:dyDescent="0.25">
      <c r="B844">
        <v>183</v>
      </c>
      <c r="C844" s="397" t="str">
        <f>IF('0_Dades generals organització'!H235="","",'0_Dades generals organització'!H235)</f>
        <v/>
      </c>
      <c r="D844" s="397" t="str">
        <f>IF(C844="","",IF('0_Dades generals organització'!J235="no","",Dades!C844))</f>
        <v/>
      </c>
      <c r="E844" s="397" t="str">
        <f>IFERROR(INDEX($D$662:$D$911,MATCH(0,INDEX(COUNTIF($E$661:E843,$D$662:$D$911),),)),"")</f>
        <v/>
      </c>
    </row>
    <row r="845" spans="2:5" x14ac:dyDescent="0.25">
      <c r="B845">
        <v>184</v>
      </c>
      <c r="C845" s="397" t="str">
        <f>IF('0_Dades generals organització'!H236="","",'0_Dades generals organització'!H236)</f>
        <v/>
      </c>
      <c r="D845" s="397" t="str">
        <f>IF(C845="","",IF('0_Dades generals organització'!J236="no","",Dades!C845))</f>
        <v/>
      </c>
      <c r="E845" s="397" t="str">
        <f>IFERROR(INDEX($D$662:$D$911,MATCH(0,INDEX(COUNTIF($E$661:E844,$D$662:$D$911),),)),"")</f>
        <v/>
      </c>
    </row>
    <row r="846" spans="2:5" x14ac:dyDescent="0.25">
      <c r="B846">
        <v>185</v>
      </c>
      <c r="C846" s="397" t="str">
        <f>IF('0_Dades generals organització'!H237="","",'0_Dades generals organització'!H237)</f>
        <v/>
      </c>
      <c r="D846" s="397" t="str">
        <f>IF(C846="","",IF('0_Dades generals organització'!J237="no","",Dades!C846))</f>
        <v/>
      </c>
      <c r="E846" s="397" t="str">
        <f>IFERROR(INDEX($D$662:$D$911,MATCH(0,INDEX(COUNTIF($E$661:E845,$D$662:$D$911),),)),"")</f>
        <v/>
      </c>
    </row>
    <row r="847" spans="2:5" x14ac:dyDescent="0.25">
      <c r="B847">
        <v>186</v>
      </c>
      <c r="C847" s="397" t="str">
        <f>IF('0_Dades generals organització'!H238="","",'0_Dades generals organització'!H238)</f>
        <v/>
      </c>
      <c r="D847" s="397" t="str">
        <f>IF(C847="","",IF('0_Dades generals organització'!J238="no","",Dades!C847))</f>
        <v/>
      </c>
      <c r="E847" s="397" t="str">
        <f>IFERROR(INDEX($D$662:$D$911,MATCH(0,INDEX(COUNTIF($E$661:E846,$D$662:$D$911),),)),"")</f>
        <v/>
      </c>
    </row>
    <row r="848" spans="2:5" x14ac:dyDescent="0.25">
      <c r="B848">
        <v>187</v>
      </c>
      <c r="C848" s="397" t="str">
        <f>IF('0_Dades generals organització'!H239="","",'0_Dades generals organització'!H239)</f>
        <v/>
      </c>
      <c r="D848" s="397" t="str">
        <f>IF(C848="","",IF('0_Dades generals organització'!J239="no","",Dades!C848))</f>
        <v/>
      </c>
      <c r="E848" s="397" t="str">
        <f>IFERROR(INDEX($D$662:$D$911,MATCH(0,INDEX(COUNTIF($E$661:E847,$D$662:$D$911),),)),"")</f>
        <v/>
      </c>
    </row>
    <row r="849" spans="2:5" x14ac:dyDescent="0.25">
      <c r="B849">
        <v>188</v>
      </c>
      <c r="C849" s="397" t="str">
        <f>IF('0_Dades generals organització'!H240="","",'0_Dades generals organització'!H240)</f>
        <v/>
      </c>
      <c r="D849" s="397" t="str">
        <f>IF(C849="","",IF('0_Dades generals organització'!J240="no","",Dades!C849))</f>
        <v/>
      </c>
      <c r="E849" s="397" t="str">
        <f>IFERROR(INDEX($D$662:$D$911,MATCH(0,INDEX(COUNTIF($E$661:E848,$D$662:$D$911),),)),"")</f>
        <v/>
      </c>
    </row>
    <row r="850" spans="2:5" x14ac:dyDescent="0.25">
      <c r="B850">
        <v>189</v>
      </c>
      <c r="C850" s="397" t="str">
        <f>IF('0_Dades generals organització'!H241="","",'0_Dades generals organització'!H241)</f>
        <v/>
      </c>
      <c r="D850" s="397" t="str">
        <f>IF(C850="","",IF('0_Dades generals organització'!J241="no","",Dades!C850))</f>
        <v/>
      </c>
      <c r="E850" s="397" t="str">
        <f>IFERROR(INDEX($D$662:$D$911,MATCH(0,INDEX(COUNTIF($E$661:E849,$D$662:$D$911),),)),"")</f>
        <v/>
      </c>
    </row>
    <row r="851" spans="2:5" x14ac:dyDescent="0.25">
      <c r="B851">
        <v>190</v>
      </c>
      <c r="C851" s="397" t="str">
        <f>IF('0_Dades generals organització'!H242="","",'0_Dades generals organització'!H242)</f>
        <v/>
      </c>
      <c r="D851" s="397" t="str">
        <f>IF(C851="","",IF('0_Dades generals organització'!J242="no","",Dades!C851))</f>
        <v/>
      </c>
      <c r="E851" s="397" t="str">
        <f>IFERROR(INDEX($D$662:$D$911,MATCH(0,INDEX(COUNTIF($E$661:E850,$D$662:$D$911),),)),"")</f>
        <v/>
      </c>
    </row>
    <row r="852" spans="2:5" x14ac:dyDescent="0.25">
      <c r="B852">
        <v>191</v>
      </c>
      <c r="C852" s="397" t="str">
        <f>IF('0_Dades generals organització'!H243="","",'0_Dades generals organització'!H243)</f>
        <v/>
      </c>
      <c r="D852" s="397" t="str">
        <f>IF(C852="","",IF('0_Dades generals organització'!J243="no","",Dades!C852))</f>
        <v/>
      </c>
      <c r="E852" s="397" t="str">
        <f>IFERROR(INDEX($D$662:$D$911,MATCH(0,INDEX(COUNTIF($E$661:E851,$D$662:$D$911),),)),"")</f>
        <v/>
      </c>
    </row>
    <row r="853" spans="2:5" x14ac:dyDescent="0.25">
      <c r="B853">
        <v>192</v>
      </c>
      <c r="C853" s="397" t="str">
        <f>IF('0_Dades generals organització'!H244="","",'0_Dades generals organització'!H244)</f>
        <v/>
      </c>
      <c r="D853" s="397" t="str">
        <f>IF(C853="","",IF('0_Dades generals organització'!J244="no","",Dades!C853))</f>
        <v/>
      </c>
      <c r="E853" s="397" t="str">
        <f>IFERROR(INDEX($D$662:$D$911,MATCH(0,INDEX(COUNTIF($E$661:E852,$D$662:$D$911),),)),"")</f>
        <v/>
      </c>
    </row>
    <row r="854" spans="2:5" x14ac:dyDescent="0.25">
      <c r="B854">
        <v>193</v>
      </c>
      <c r="C854" s="397" t="str">
        <f>IF('0_Dades generals organització'!H245="","",'0_Dades generals organització'!H245)</f>
        <v/>
      </c>
      <c r="D854" s="397" t="str">
        <f>IF(C854="","",IF('0_Dades generals organització'!J245="no","",Dades!C854))</f>
        <v/>
      </c>
      <c r="E854" s="397" t="str">
        <f>IFERROR(INDEX($D$662:$D$911,MATCH(0,INDEX(COUNTIF($E$661:E853,$D$662:$D$911),),)),"")</f>
        <v/>
      </c>
    </row>
    <row r="855" spans="2:5" x14ac:dyDescent="0.25">
      <c r="B855">
        <v>194</v>
      </c>
      <c r="C855" s="397" t="str">
        <f>IF('0_Dades generals organització'!H246="","",'0_Dades generals organització'!H246)</f>
        <v/>
      </c>
      <c r="D855" s="397" t="str">
        <f>IF(C855="","",IF('0_Dades generals organització'!J246="no","",Dades!C855))</f>
        <v/>
      </c>
      <c r="E855" s="397" t="str">
        <f>IFERROR(INDEX($D$662:$D$911,MATCH(0,INDEX(COUNTIF($E$661:E854,$D$662:$D$911),),)),"")</f>
        <v/>
      </c>
    </row>
    <row r="856" spans="2:5" x14ac:dyDescent="0.25">
      <c r="B856">
        <v>195</v>
      </c>
      <c r="C856" s="397" t="str">
        <f>IF('0_Dades generals organització'!H247="","",'0_Dades generals organització'!H247)</f>
        <v/>
      </c>
      <c r="D856" s="397" t="str">
        <f>IF(C856="","",IF('0_Dades generals organització'!J247="no","",Dades!C856))</f>
        <v/>
      </c>
      <c r="E856" s="397" t="str">
        <f>IFERROR(INDEX($D$662:$D$911,MATCH(0,INDEX(COUNTIF($E$661:E855,$D$662:$D$911),),)),"")</f>
        <v/>
      </c>
    </row>
    <row r="857" spans="2:5" x14ac:dyDescent="0.25">
      <c r="B857">
        <v>196</v>
      </c>
      <c r="C857" s="397" t="str">
        <f>IF('0_Dades generals organització'!H248="","",'0_Dades generals organització'!H248)</f>
        <v/>
      </c>
      <c r="D857" s="397" t="str">
        <f>IF(C857="","",IF('0_Dades generals organització'!J248="no","",Dades!C857))</f>
        <v/>
      </c>
      <c r="E857" s="397" t="str">
        <f>IFERROR(INDEX($D$662:$D$911,MATCH(0,INDEX(COUNTIF($E$661:E856,$D$662:$D$911),),)),"")</f>
        <v/>
      </c>
    </row>
    <row r="858" spans="2:5" x14ac:dyDescent="0.25">
      <c r="B858">
        <v>197</v>
      </c>
      <c r="C858" s="397" t="str">
        <f>IF('0_Dades generals organització'!H249="","",'0_Dades generals organització'!H249)</f>
        <v/>
      </c>
      <c r="D858" s="397" t="str">
        <f>IF(C858="","",IF('0_Dades generals organització'!J249="no","",Dades!C858))</f>
        <v/>
      </c>
      <c r="E858" s="397" t="str">
        <f>IFERROR(INDEX($D$662:$D$911,MATCH(0,INDEX(COUNTIF($E$661:E857,$D$662:$D$911),),)),"")</f>
        <v/>
      </c>
    </row>
    <row r="859" spans="2:5" x14ac:dyDescent="0.25">
      <c r="B859">
        <v>198</v>
      </c>
      <c r="C859" s="397" t="str">
        <f>IF('0_Dades generals organització'!H250="","",'0_Dades generals organització'!H250)</f>
        <v/>
      </c>
      <c r="D859" s="397" t="str">
        <f>IF(C859="","",IF('0_Dades generals organització'!J250="no","",Dades!C859))</f>
        <v/>
      </c>
      <c r="E859" s="397" t="str">
        <f>IFERROR(INDEX($D$662:$D$911,MATCH(0,INDEX(COUNTIF($E$661:E858,$D$662:$D$911),),)),"")</f>
        <v/>
      </c>
    </row>
    <row r="860" spans="2:5" x14ac:dyDescent="0.25">
      <c r="B860">
        <v>199</v>
      </c>
      <c r="C860" s="397" t="str">
        <f>IF('0_Dades generals organització'!H251="","",'0_Dades generals organització'!H251)</f>
        <v/>
      </c>
      <c r="D860" s="397" t="str">
        <f>IF(C860="","",IF('0_Dades generals organització'!J251="no","",Dades!C860))</f>
        <v/>
      </c>
      <c r="E860" s="397" t="str">
        <f>IFERROR(INDEX($D$662:$D$911,MATCH(0,INDEX(COUNTIF($E$661:E859,$D$662:$D$911),),)),"")</f>
        <v/>
      </c>
    </row>
    <row r="861" spans="2:5" x14ac:dyDescent="0.25">
      <c r="B861">
        <v>200</v>
      </c>
      <c r="C861" s="397" t="str">
        <f>IF('0_Dades generals organització'!H252="","",'0_Dades generals organització'!H252)</f>
        <v/>
      </c>
      <c r="D861" s="397" t="str">
        <f>IF(C861="","",IF('0_Dades generals organització'!J252="no","",Dades!C861))</f>
        <v/>
      </c>
      <c r="E861" s="397" t="str">
        <f>IFERROR(INDEX($D$662:$D$911,MATCH(0,INDEX(COUNTIF($E$661:E860,$D$662:$D$911),),)),"")</f>
        <v/>
      </c>
    </row>
    <row r="862" spans="2:5" x14ac:dyDescent="0.25">
      <c r="B862">
        <v>201</v>
      </c>
      <c r="C862" s="397" t="str">
        <f>IF('0_Dades generals organització'!H253="","",'0_Dades generals organització'!H253)</f>
        <v/>
      </c>
      <c r="D862" s="397" t="str">
        <f>IF(C862="","",IF('0_Dades generals organització'!J253="no","",Dades!C862))</f>
        <v/>
      </c>
      <c r="E862" s="397" t="str">
        <f>IFERROR(INDEX($D$662:$D$911,MATCH(0,INDEX(COUNTIF($E$661:E861,$D$662:$D$911),),)),"")</f>
        <v/>
      </c>
    </row>
    <row r="863" spans="2:5" x14ac:dyDescent="0.25">
      <c r="B863">
        <v>202</v>
      </c>
      <c r="C863" s="397" t="str">
        <f>IF('0_Dades generals organització'!H254="","",'0_Dades generals organització'!H254)</f>
        <v/>
      </c>
      <c r="D863" s="397" t="str">
        <f>IF(C863="","",IF('0_Dades generals organització'!J254="no","",Dades!C863))</f>
        <v/>
      </c>
      <c r="E863" s="397" t="str">
        <f>IFERROR(INDEX($D$662:$D$911,MATCH(0,INDEX(COUNTIF($E$661:E862,$D$662:$D$911),),)),"")</f>
        <v/>
      </c>
    </row>
    <row r="864" spans="2:5" x14ac:dyDescent="0.25">
      <c r="B864">
        <v>203</v>
      </c>
      <c r="C864" s="397" t="str">
        <f>IF('0_Dades generals organització'!H255="","",'0_Dades generals organització'!H255)</f>
        <v/>
      </c>
      <c r="D864" s="397" t="str">
        <f>IF(C864="","",IF('0_Dades generals organització'!J255="no","",Dades!C864))</f>
        <v/>
      </c>
      <c r="E864" s="397" t="str">
        <f>IFERROR(INDEX($D$662:$D$911,MATCH(0,INDEX(COUNTIF($E$661:E863,$D$662:$D$911),),)),"")</f>
        <v/>
      </c>
    </row>
    <row r="865" spans="2:5" x14ac:dyDescent="0.25">
      <c r="B865">
        <v>204</v>
      </c>
      <c r="C865" s="397" t="str">
        <f>IF('0_Dades generals organització'!H256="","",'0_Dades generals organització'!H256)</f>
        <v/>
      </c>
      <c r="D865" s="397" t="str">
        <f>IF(C865="","",IF('0_Dades generals organització'!J256="no","",Dades!C865))</f>
        <v/>
      </c>
      <c r="E865" s="397" t="str">
        <f>IFERROR(INDEX($D$662:$D$911,MATCH(0,INDEX(COUNTIF($E$661:E864,$D$662:$D$911),),)),"")</f>
        <v/>
      </c>
    </row>
    <row r="866" spans="2:5" x14ac:dyDescent="0.25">
      <c r="B866">
        <v>205</v>
      </c>
      <c r="C866" s="397" t="str">
        <f>IF('0_Dades generals organització'!H257="","",'0_Dades generals organització'!H257)</f>
        <v/>
      </c>
      <c r="D866" s="397" t="str">
        <f>IF(C866="","",IF('0_Dades generals organització'!J257="no","",Dades!C866))</f>
        <v/>
      </c>
      <c r="E866" s="397" t="str">
        <f>IFERROR(INDEX($D$662:$D$911,MATCH(0,INDEX(COUNTIF($E$661:E865,$D$662:$D$911),),)),"")</f>
        <v/>
      </c>
    </row>
    <row r="867" spans="2:5" x14ac:dyDescent="0.25">
      <c r="B867">
        <v>206</v>
      </c>
      <c r="C867" s="397" t="str">
        <f>IF('0_Dades generals organització'!H258="","",'0_Dades generals organització'!H258)</f>
        <v/>
      </c>
      <c r="D867" s="397" t="str">
        <f>IF(C867="","",IF('0_Dades generals organització'!J258="no","",Dades!C867))</f>
        <v/>
      </c>
      <c r="E867" s="397" t="str">
        <f>IFERROR(INDEX($D$662:$D$911,MATCH(0,INDEX(COUNTIF($E$661:E866,$D$662:$D$911),),)),"")</f>
        <v/>
      </c>
    </row>
    <row r="868" spans="2:5" x14ac:dyDescent="0.25">
      <c r="B868">
        <v>207</v>
      </c>
      <c r="C868" s="397" t="str">
        <f>IF('0_Dades generals organització'!H259="","",'0_Dades generals organització'!H259)</f>
        <v/>
      </c>
      <c r="D868" s="397" t="str">
        <f>IF(C868="","",IF('0_Dades generals organització'!J259="no","",Dades!C868))</f>
        <v/>
      </c>
      <c r="E868" s="397" t="str">
        <f>IFERROR(INDEX($D$662:$D$911,MATCH(0,INDEX(COUNTIF($E$661:E867,$D$662:$D$911),),)),"")</f>
        <v/>
      </c>
    </row>
    <row r="869" spans="2:5" x14ac:dyDescent="0.25">
      <c r="B869">
        <v>208</v>
      </c>
      <c r="C869" s="397" t="str">
        <f>IF('0_Dades generals organització'!H260="","",'0_Dades generals organització'!H260)</f>
        <v/>
      </c>
      <c r="D869" s="397" t="str">
        <f>IF(C869="","",IF('0_Dades generals organització'!J260="no","",Dades!C869))</f>
        <v/>
      </c>
      <c r="E869" s="397" t="str">
        <f>IFERROR(INDEX($D$662:$D$911,MATCH(0,INDEX(COUNTIF($E$661:E868,$D$662:$D$911),),)),"")</f>
        <v/>
      </c>
    </row>
    <row r="870" spans="2:5" x14ac:dyDescent="0.25">
      <c r="B870">
        <v>209</v>
      </c>
      <c r="C870" s="397" t="str">
        <f>IF('0_Dades generals organització'!H261="","",'0_Dades generals organització'!H261)</f>
        <v/>
      </c>
      <c r="D870" s="397" t="str">
        <f>IF(C870="","",IF('0_Dades generals organització'!J261="no","",Dades!C870))</f>
        <v/>
      </c>
      <c r="E870" s="397" t="str">
        <f>IFERROR(INDEX($D$662:$D$911,MATCH(0,INDEX(COUNTIF($E$661:E869,$D$662:$D$911),),)),"")</f>
        <v/>
      </c>
    </row>
    <row r="871" spans="2:5" x14ac:dyDescent="0.25">
      <c r="B871">
        <v>210</v>
      </c>
      <c r="C871" s="397" t="str">
        <f>IF('0_Dades generals organització'!H262="","",'0_Dades generals organització'!H262)</f>
        <v/>
      </c>
      <c r="D871" s="397" t="str">
        <f>IF(C871="","",IF('0_Dades generals organització'!J262="no","",Dades!C871))</f>
        <v/>
      </c>
      <c r="E871" s="397" t="str">
        <f>IFERROR(INDEX($D$662:$D$911,MATCH(0,INDEX(COUNTIF($E$661:E870,$D$662:$D$911),),)),"")</f>
        <v/>
      </c>
    </row>
    <row r="872" spans="2:5" x14ac:dyDescent="0.25">
      <c r="B872">
        <v>211</v>
      </c>
      <c r="C872" s="397" t="str">
        <f>IF('0_Dades generals organització'!H263="","",'0_Dades generals organització'!H263)</f>
        <v/>
      </c>
      <c r="D872" s="397" t="str">
        <f>IF(C872="","",IF('0_Dades generals organització'!J263="no","",Dades!C872))</f>
        <v/>
      </c>
      <c r="E872" s="397" t="str">
        <f>IFERROR(INDEX($D$662:$D$911,MATCH(0,INDEX(COUNTIF($E$661:E871,$D$662:$D$911),),)),"")</f>
        <v/>
      </c>
    </row>
    <row r="873" spans="2:5" x14ac:dyDescent="0.25">
      <c r="B873">
        <v>212</v>
      </c>
      <c r="C873" s="397" t="str">
        <f>IF('0_Dades generals organització'!H264="","",'0_Dades generals organització'!H264)</f>
        <v/>
      </c>
      <c r="D873" s="397" t="str">
        <f>IF(C873="","",IF('0_Dades generals organització'!J264="no","",Dades!C873))</f>
        <v/>
      </c>
      <c r="E873" s="397" t="str">
        <f>IFERROR(INDEX($D$662:$D$911,MATCH(0,INDEX(COUNTIF($E$661:E872,$D$662:$D$911),),)),"")</f>
        <v/>
      </c>
    </row>
    <row r="874" spans="2:5" x14ac:dyDescent="0.25">
      <c r="B874">
        <v>213</v>
      </c>
      <c r="C874" s="397" t="str">
        <f>IF('0_Dades generals organització'!H265="","",'0_Dades generals organització'!H265)</f>
        <v/>
      </c>
      <c r="D874" s="397" t="str">
        <f>IF(C874="","",IF('0_Dades generals organització'!J265="no","",Dades!C874))</f>
        <v/>
      </c>
      <c r="E874" s="397" t="str">
        <f>IFERROR(INDEX($D$662:$D$911,MATCH(0,INDEX(COUNTIF($E$661:E873,$D$662:$D$911),),)),"")</f>
        <v/>
      </c>
    </row>
    <row r="875" spans="2:5" x14ac:dyDescent="0.25">
      <c r="B875">
        <v>214</v>
      </c>
      <c r="C875" s="397" t="str">
        <f>IF('0_Dades generals organització'!H266="","",'0_Dades generals organització'!H266)</f>
        <v/>
      </c>
      <c r="D875" s="397" t="str">
        <f>IF(C875="","",IF('0_Dades generals organització'!J266="no","",Dades!C875))</f>
        <v/>
      </c>
      <c r="E875" s="397" t="str">
        <f>IFERROR(INDEX($D$662:$D$911,MATCH(0,INDEX(COUNTIF($E$661:E874,$D$662:$D$911),),)),"")</f>
        <v/>
      </c>
    </row>
    <row r="876" spans="2:5" x14ac:dyDescent="0.25">
      <c r="B876">
        <v>215</v>
      </c>
      <c r="C876" s="397" t="str">
        <f>IF('0_Dades generals organització'!H267="","",'0_Dades generals organització'!H267)</f>
        <v/>
      </c>
      <c r="D876" s="397" t="str">
        <f>IF(C876="","",IF('0_Dades generals organització'!J267="no","",Dades!C876))</f>
        <v/>
      </c>
      <c r="E876" s="397" t="str">
        <f>IFERROR(INDEX($D$662:$D$911,MATCH(0,INDEX(COUNTIF($E$661:E875,$D$662:$D$911),),)),"")</f>
        <v/>
      </c>
    </row>
    <row r="877" spans="2:5" x14ac:dyDescent="0.25">
      <c r="B877">
        <v>216</v>
      </c>
      <c r="C877" s="397" t="str">
        <f>IF('0_Dades generals organització'!H268="","",'0_Dades generals organització'!H268)</f>
        <v/>
      </c>
      <c r="D877" s="397" t="str">
        <f>IF(C877="","",IF('0_Dades generals organització'!J268="no","",Dades!C877))</f>
        <v/>
      </c>
      <c r="E877" s="397" t="str">
        <f>IFERROR(INDEX($D$662:$D$911,MATCH(0,INDEX(COUNTIF($E$661:E876,$D$662:$D$911),),)),"")</f>
        <v/>
      </c>
    </row>
    <row r="878" spans="2:5" x14ac:dyDescent="0.25">
      <c r="B878">
        <v>217</v>
      </c>
      <c r="C878" s="397" t="str">
        <f>IF('0_Dades generals organització'!H269="","",'0_Dades generals organització'!H269)</f>
        <v/>
      </c>
      <c r="D878" s="397" t="str">
        <f>IF(C878="","",IF('0_Dades generals organització'!J269="no","",Dades!C878))</f>
        <v/>
      </c>
      <c r="E878" s="397" t="str">
        <f>IFERROR(INDEX($D$662:$D$911,MATCH(0,INDEX(COUNTIF($E$661:E877,$D$662:$D$911),),)),"")</f>
        <v/>
      </c>
    </row>
    <row r="879" spans="2:5" x14ac:dyDescent="0.25">
      <c r="B879">
        <v>218</v>
      </c>
      <c r="C879" s="397" t="str">
        <f>IF('0_Dades generals organització'!H270="","",'0_Dades generals organització'!H270)</f>
        <v/>
      </c>
      <c r="D879" s="397" t="str">
        <f>IF(C879="","",IF('0_Dades generals organització'!J270="no","",Dades!C879))</f>
        <v/>
      </c>
      <c r="E879" s="397" t="str">
        <f>IFERROR(INDEX($D$662:$D$911,MATCH(0,INDEX(COUNTIF($E$661:E878,$D$662:$D$911),),)),"")</f>
        <v/>
      </c>
    </row>
    <row r="880" spans="2:5" x14ac:dyDescent="0.25">
      <c r="B880">
        <v>219</v>
      </c>
      <c r="C880" s="397" t="str">
        <f>IF('0_Dades generals organització'!H271="","",'0_Dades generals organització'!H271)</f>
        <v/>
      </c>
      <c r="D880" s="397" t="str">
        <f>IF(C880="","",IF('0_Dades generals organització'!J271="no","",Dades!C880))</f>
        <v/>
      </c>
      <c r="E880" s="397" t="str">
        <f>IFERROR(INDEX($D$662:$D$911,MATCH(0,INDEX(COUNTIF($E$661:E879,$D$662:$D$911),),)),"")</f>
        <v/>
      </c>
    </row>
    <row r="881" spans="2:5" x14ac:dyDescent="0.25">
      <c r="B881">
        <v>220</v>
      </c>
      <c r="C881" s="397" t="str">
        <f>IF('0_Dades generals organització'!H272="","",'0_Dades generals organització'!H272)</f>
        <v/>
      </c>
      <c r="D881" s="397" t="str">
        <f>IF(C881="","",IF('0_Dades generals organització'!J272="no","",Dades!C881))</f>
        <v/>
      </c>
      <c r="E881" s="397" t="str">
        <f>IFERROR(INDEX($D$662:$D$911,MATCH(0,INDEX(COUNTIF($E$661:E880,$D$662:$D$911),),)),"")</f>
        <v/>
      </c>
    </row>
    <row r="882" spans="2:5" x14ac:dyDescent="0.25">
      <c r="B882">
        <v>221</v>
      </c>
      <c r="C882" s="397" t="str">
        <f>IF('0_Dades generals organització'!H273="","",'0_Dades generals organització'!H273)</f>
        <v/>
      </c>
      <c r="D882" s="397" t="str">
        <f>IF(C882="","",IF('0_Dades generals organització'!J273="no","",Dades!C882))</f>
        <v/>
      </c>
      <c r="E882" s="397" t="str">
        <f>IFERROR(INDEX($D$662:$D$911,MATCH(0,INDEX(COUNTIF($E$661:E881,$D$662:$D$911),),)),"")</f>
        <v/>
      </c>
    </row>
    <row r="883" spans="2:5" x14ac:dyDescent="0.25">
      <c r="B883">
        <v>222</v>
      </c>
      <c r="C883" s="397" t="str">
        <f>IF('0_Dades generals organització'!H274="","",'0_Dades generals organització'!H274)</f>
        <v/>
      </c>
      <c r="D883" s="397" t="str">
        <f>IF(C883="","",IF('0_Dades generals organització'!J274="no","",Dades!C883))</f>
        <v/>
      </c>
      <c r="E883" s="397" t="str">
        <f>IFERROR(INDEX($D$662:$D$911,MATCH(0,INDEX(COUNTIF($E$661:E882,$D$662:$D$911),),)),"")</f>
        <v/>
      </c>
    </row>
    <row r="884" spans="2:5" x14ac:dyDescent="0.25">
      <c r="B884">
        <v>223</v>
      </c>
      <c r="C884" s="397" t="str">
        <f>IF('0_Dades generals organització'!H275="","",'0_Dades generals organització'!H275)</f>
        <v/>
      </c>
      <c r="D884" s="397" t="str">
        <f>IF(C884="","",IF('0_Dades generals organització'!J275="no","",Dades!C884))</f>
        <v/>
      </c>
      <c r="E884" s="397" t="str">
        <f>IFERROR(INDEX($D$662:$D$911,MATCH(0,INDEX(COUNTIF($E$661:E883,$D$662:$D$911),),)),"")</f>
        <v/>
      </c>
    </row>
    <row r="885" spans="2:5" x14ac:dyDescent="0.25">
      <c r="B885">
        <v>224</v>
      </c>
      <c r="C885" s="397" t="str">
        <f>IF('0_Dades generals organització'!H276="","",'0_Dades generals organització'!H276)</f>
        <v/>
      </c>
      <c r="D885" s="397" t="str">
        <f>IF(C885="","",IF('0_Dades generals organització'!J276="no","",Dades!C885))</f>
        <v/>
      </c>
      <c r="E885" s="397" t="str">
        <f>IFERROR(INDEX($D$662:$D$911,MATCH(0,INDEX(COUNTIF($E$661:E884,$D$662:$D$911),),)),"")</f>
        <v/>
      </c>
    </row>
    <row r="886" spans="2:5" x14ac:dyDescent="0.25">
      <c r="B886">
        <v>225</v>
      </c>
      <c r="C886" s="397" t="str">
        <f>IF('0_Dades generals organització'!H277="","",'0_Dades generals organització'!H277)</f>
        <v/>
      </c>
      <c r="D886" s="397" t="str">
        <f>IF(C886="","",IF('0_Dades generals organització'!J277="no","",Dades!C886))</f>
        <v/>
      </c>
      <c r="E886" s="397" t="str">
        <f>IFERROR(INDEX($D$662:$D$911,MATCH(0,INDEX(COUNTIF($E$661:E885,$D$662:$D$911),),)),"")</f>
        <v/>
      </c>
    </row>
    <row r="887" spans="2:5" x14ac:dyDescent="0.25">
      <c r="B887">
        <v>226</v>
      </c>
      <c r="C887" s="397" t="str">
        <f>IF('0_Dades generals organització'!H278="","",'0_Dades generals organització'!H278)</f>
        <v/>
      </c>
      <c r="D887" s="397" t="str">
        <f>IF(C887="","",IF('0_Dades generals organització'!J278="no","",Dades!C887))</f>
        <v/>
      </c>
      <c r="E887" s="397" t="str">
        <f>IFERROR(INDEX($D$662:$D$911,MATCH(0,INDEX(COUNTIF($E$661:E886,$D$662:$D$911),),)),"")</f>
        <v/>
      </c>
    </row>
    <row r="888" spans="2:5" x14ac:dyDescent="0.25">
      <c r="B888">
        <v>227</v>
      </c>
      <c r="C888" s="397" t="str">
        <f>IF('0_Dades generals organització'!H279="","",'0_Dades generals organització'!H279)</f>
        <v/>
      </c>
      <c r="D888" s="397" t="str">
        <f>IF(C888="","",IF('0_Dades generals organització'!J279="no","",Dades!C888))</f>
        <v/>
      </c>
      <c r="E888" s="397" t="str">
        <f>IFERROR(INDEX($D$662:$D$911,MATCH(0,INDEX(COUNTIF($E$661:E887,$D$662:$D$911),),)),"")</f>
        <v/>
      </c>
    </row>
    <row r="889" spans="2:5" x14ac:dyDescent="0.25">
      <c r="B889">
        <v>228</v>
      </c>
      <c r="C889" s="397" t="str">
        <f>IF('0_Dades generals organització'!H280="","",'0_Dades generals organització'!H280)</f>
        <v/>
      </c>
      <c r="D889" s="397" t="str">
        <f>IF(C889="","",IF('0_Dades generals organització'!J280="no","",Dades!C889))</f>
        <v/>
      </c>
      <c r="E889" s="397" t="str">
        <f>IFERROR(INDEX($D$662:$D$911,MATCH(0,INDEX(COUNTIF($E$661:E888,$D$662:$D$911),),)),"")</f>
        <v/>
      </c>
    </row>
    <row r="890" spans="2:5" x14ac:dyDescent="0.25">
      <c r="B890">
        <v>229</v>
      </c>
      <c r="C890" s="397" t="str">
        <f>IF('0_Dades generals organització'!H281="","",'0_Dades generals organització'!H281)</f>
        <v/>
      </c>
      <c r="D890" s="397" t="str">
        <f>IF(C890="","",IF('0_Dades generals organització'!J281="no","",Dades!C890))</f>
        <v/>
      </c>
      <c r="E890" s="397" t="str">
        <f>IFERROR(INDEX($D$662:$D$911,MATCH(0,INDEX(COUNTIF($E$661:E889,$D$662:$D$911),),)),"")</f>
        <v/>
      </c>
    </row>
    <row r="891" spans="2:5" x14ac:dyDescent="0.25">
      <c r="B891">
        <v>230</v>
      </c>
      <c r="C891" s="397" t="str">
        <f>IF('0_Dades generals organització'!H282="","",'0_Dades generals organització'!H282)</f>
        <v/>
      </c>
      <c r="D891" s="397" t="str">
        <f>IF(C891="","",IF('0_Dades generals organització'!J282="no","",Dades!C891))</f>
        <v/>
      </c>
      <c r="E891" s="397" t="str">
        <f>IFERROR(INDEX($D$662:$D$911,MATCH(0,INDEX(COUNTIF($E$661:E890,$D$662:$D$911),),)),"")</f>
        <v/>
      </c>
    </row>
    <row r="892" spans="2:5" x14ac:dyDescent="0.25">
      <c r="B892">
        <v>231</v>
      </c>
      <c r="C892" s="397" t="str">
        <f>IF('0_Dades generals organització'!H283="","",'0_Dades generals organització'!H283)</f>
        <v/>
      </c>
      <c r="D892" s="397" t="str">
        <f>IF(C892="","",IF('0_Dades generals organització'!J283="no","",Dades!C892))</f>
        <v/>
      </c>
      <c r="E892" s="397" t="str">
        <f>IFERROR(INDEX($D$662:$D$911,MATCH(0,INDEX(COUNTIF($E$661:E891,$D$662:$D$911),),)),"")</f>
        <v/>
      </c>
    </row>
    <row r="893" spans="2:5" x14ac:dyDescent="0.25">
      <c r="B893">
        <v>232</v>
      </c>
      <c r="C893" s="397" t="str">
        <f>IF('0_Dades generals organització'!H284="","",'0_Dades generals organització'!H284)</f>
        <v/>
      </c>
      <c r="D893" s="397" t="str">
        <f>IF(C893="","",IF('0_Dades generals organització'!J284="no","",Dades!C893))</f>
        <v/>
      </c>
      <c r="E893" s="397" t="str">
        <f>IFERROR(INDEX($D$662:$D$911,MATCH(0,INDEX(COUNTIF($E$661:E892,$D$662:$D$911),),)),"")</f>
        <v/>
      </c>
    </row>
    <row r="894" spans="2:5" x14ac:dyDescent="0.25">
      <c r="B894">
        <v>233</v>
      </c>
      <c r="C894" s="397" t="str">
        <f>IF('0_Dades generals organització'!H285="","",'0_Dades generals organització'!H285)</f>
        <v/>
      </c>
      <c r="D894" s="397" t="str">
        <f>IF(C894="","",IF('0_Dades generals organització'!J285="no","",Dades!C894))</f>
        <v/>
      </c>
      <c r="E894" s="397" t="str">
        <f>IFERROR(INDEX($D$662:$D$911,MATCH(0,INDEX(COUNTIF($E$661:E893,$D$662:$D$911),),)),"")</f>
        <v/>
      </c>
    </row>
    <row r="895" spans="2:5" x14ac:dyDescent="0.25">
      <c r="B895">
        <v>234</v>
      </c>
      <c r="C895" s="397" t="str">
        <f>IF('0_Dades generals organització'!H286="","",'0_Dades generals organització'!H286)</f>
        <v/>
      </c>
      <c r="D895" s="397" t="str">
        <f>IF(C895="","",IF('0_Dades generals organització'!J286="no","",Dades!C895))</f>
        <v/>
      </c>
      <c r="E895" s="397" t="str">
        <f>IFERROR(INDEX($D$662:$D$911,MATCH(0,INDEX(COUNTIF($E$661:E894,$D$662:$D$911),),)),"")</f>
        <v/>
      </c>
    </row>
    <row r="896" spans="2:5" x14ac:dyDescent="0.25">
      <c r="B896">
        <v>235</v>
      </c>
      <c r="C896" s="397" t="str">
        <f>IF('0_Dades generals organització'!H287="","",'0_Dades generals organització'!H287)</f>
        <v/>
      </c>
      <c r="D896" s="397" t="str">
        <f>IF(C896="","",IF('0_Dades generals organització'!J287="no","",Dades!C896))</f>
        <v/>
      </c>
      <c r="E896" s="397" t="str">
        <f>IFERROR(INDEX($D$662:$D$911,MATCH(0,INDEX(COUNTIF($E$661:E895,$D$662:$D$911),),)),"")</f>
        <v/>
      </c>
    </row>
    <row r="897" spans="2:5" x14ac:dyDescent="0.25">
      <c r="B897">
        <v>236</v>
      </c>
      <c r="C897" s="397" t="str">
        <f>IF('0_Dades generals organització'!H288="","",'0_Dades generals organització'!H288)</f>
        <v/>
      </c>
      <c r="D897" s="397" t="str">
        <f>IF(C897="","",IF('0_Dades generals organització'!J288="no","",Dades!C897))</f>
        <v/>
      </c>
      <c r="E897" s="397" t="str">
        <f>IFERROR(INDEX($D$662:$D$911,MATCH(0,INDEX(COUNTIF($E$661:E896,$D$662:$D$911),),)),"")</f>
        <v/>
      </c>
    </row>
    <row r="898" spans="2:5" x14ac:dyDescent="0.25">
      <c r="B898">
        <v>237</v>
      </c>
      <c r="C898" s="397" t="str">
        <f>IF('0_Dades generals organització'!H289="","",'0_Dades generals organització'!H289)</f>
        <v/>
      </c>
      <c r="D898" s="397" t="str">
        <f>IF(C898="","",IF('0_Dades generals organització'!J289="no","",Dades!C898))</f>
        <v/>
      </c>
      <c r="E898" s="397" t="str">
        <f>IFERROR(INDEX($D$662:$D$911,MATCH(0,INDEX(COUNTIF($E$661:E897,$D$662:$D$911),),)),"")</f>
        <v/>
      </c>
    </row>
    <row r="899" spans="2:5" x14ac:dyDescent="0.25">
      <c r="B899">
        <v>238</v>
      </c>
      <c r="C899" s="397" t="str">
        <f>IF('0_Dades generals organització'!H290="","",'0_Dades generals organització'!H290)</f>
        <v/>
      </c>
      <c r="D899" s="397" t="str">
        <f>IF(C899="","",IF('0_Dades generals organització'!J290="no","",Dades!C899))</f>
        <v/>
      </c>
      <c r="E899" s="397" t="str">
        <f>IFERROR(INDEX($D$662:$D$911,MATCH(0,INDEX(COUNTIF($E$661:E898,$D$662:$D$911),),)),"")</f>
        <v/>
      </c>
    </row>
    <row r="900" spans="2:5" x14ac:dyDescent="0.25">
      <c r="B900">
        <v>239</v>
      </c>
      <c r="C900" s="397" t="str">
        <f>IF('0_Dades generals organització'!H291="","",'0_Dades generals organització'!H291)</f>
        <v/>
      </c>
      <c r="D900" s="397" t="str">
        <f>IF(C900="","",IF('0_Dades generals organització'!J291="no","",Dades!C900))</f>
        <v/>
      </c>
      <c r="E900" s="397" t="str">
        <f>IFERROR(INDEX($D$662:$D$911,MATCH(0,INDEX(COUNTIF($E$661:E899,$D$662:$D$911),),)),"")</f>
        <v/>
      </c>
    </row>
    <row r="901" spans="2:5" x14ac:dyDescent="0.25">
      <c r="B901">
        <v>240</v>
      </c>
      <c r="C901" s="397" t="str">
        <f>IF('0_Dades generals organització'!H292="","",'0_Dades generals organització'!H292)</f>
        <v/>
      </c>
      <c r="D901" s="397" t="str">
        <f>IF(C901="","",IF('0_Dades generals organització'!J292="no","",Dades!C901))</f>
        <v/>
      </c>
      <c r="E901" s="397" t="str">
        <f>IFERROR(INDEX($D$662:$D$911,MATCH(0,INDEX(COUNTIF($E$661:E900,$D$662:$D$911),),)),"")</f>
        <v/>
      </c>
    </row>
    <row r="902" spans="2:5" x14ac:dyDescent="0.25">
      <c r="B902">
        <v>241</v>
      </c>
      <c r="C902" s="397" t="str">
        <f>IF('0_Dades generals organització'!H293="","",'0_Dades generals organització'!H293)</f>
        <v/>
      </c>
      <c r="D902" s="397" t="str">
        <f>IF(C902="","",IF('0_Dades generals organització'!J293="no","",Dades!C902))</f>
        <v/>
      </c>
      <c r="E902" s="397" t="str">
        <f>IFERROR(INDEX($D$662:$D$911,MATCH(0,INDEX(COUNTIF($E$661:E901,$D$662:$D$911),),)),"")</f>
        <v/>
      </c>
    </row>
    <row r="903" spans="2:5" x14ac:dyDescent="0.25">
      <c r="B903">
        <v>242</v>
      </c>
      <c r="C903" s="397" t="str">
        <f>IF('0_Dades generals organització'!H294="","",'0_Dades generals organització'!H294)</f>
        <v/>
      </c>
      <c r="D903" s="397" t="str">
        <f>IF(C903="","",IF('0_Dades generals organització'!J294="no","",Dades!C903))</f>
        <v/>
      </c>
      <c r="E903" s="397" t="str">
        <f>IFERROR(INDEX($D$662:$D$911,MATCH(0,INDEX(COUNTIF($E$661:E902,$D$662:$D$911),),)),"")</f>
        <v/>
      </c>
    </row>
    <row r="904" spans="2:5" x14ac:dyDescent="0.25">
      <c r="B904">
        <v>243</v>
      </c>
      <c r="C904" s="397" t="str">
        <f>IF('0_Dades generals organització'!H295="","",'0_Dades generals organització'!H295)</f>
        <v/>
      </c>
      <c r="D904" s="397" t="str">
        <f>IF(C904="","",IF('0_Dades generals organització'!J295="no","",Dades!C904))</f>
        <v/>
      </c>
      <c r="E904" s="397" t="str">
        <f>IFERROR(INDEX($D$662:$D$911,MATCH(0,INDEX(COUNTIF($E$661:E903,$D$662:$D$911),),)),"")</f>
        <v/>
      </c>
    </row>
    <row r="905" spans="2:5" x14ac:dyDescent="0.25">
      <c r="B905">
        <v>244</v>
      </c>
      <c r="C905" s="397" t="str">
        <f>IF('0_Dades generals organització'!H296="","",'0_Dades generals organització'!H296)</f>
        <v/>
      </c>
      <c r="D905" s="397" t="str">
        <f>IF(C905="","",IF('0_Dades generals organització'!J296="no","",Dades!C905))</f>
        <v/>
      </c>
      <c r="E905" s="397" t="str">
        <f>IFERROR(INDEX($D$662:$D$911,MATCH(0,INDEX(COUNTIF($E$661:E904,$D$662:$D$911),),)),"")</f>
        <v/>
      </c>
    </row>
    <row r="906" spans="2:5" x14ac:dyDescent="0.25">
      <c r="B906">
        <v>245</v>
      </c>
      <c r="C906" s="397" t="str">
        <f>IF('0_Dades generals organització'!H297="","",'0_Dades generals organització'!H297)</f>
        <v/>
      </c>
      <c r="D906" s="397" t="str">
        <f>IF(C906="","",IF('0_Dades generals organització'!J297="no","",Dades!C906))</f>
        <v/>
      </c>
      <c r="E906" s="397" t="str">
        <f>IFERROR(INDEX($D$662:$D$911,MATCH(0,INDEX(COUNTIF($E$661:E905,$D$662:$D$911),),)),"")</f>
        <v/>
      </c>
    </row>
    <row r="907" spans="2:5" x14ac:dyDescent="0.25">
      <c r="B907">
        <v>246</v>
      </c>
      <c r="C907" s="397" t="str">
        <f>IF('0_Dades generals organització'!H298="","",'0_Dades generals organització'!H298)</f>
        <v/>
      </c>
      <c r="D907" s="397" t="str">
        <f>IF(C907="","",IF('0_Dades generals organització'!J298="no","",Dades!C907))</f>
        <v/>
      </c>
      <c r="E907" s="397" t="str">
        <f>IFERROR(INDEX($D$662:$D$911,MATCH(0,INDEX(COUNTIF($E$661:E906,$D$662:$D$911),),)),"")</f>
        <v/>
      </c>
    </row>
    <row r="908" spans="2:5" x14ac:dyDescent="0.25">
      <c r="B908">
        <v>247</v>
      </c>
      <c r="C908" s="397" t="str">
        <f>IF('0_Dades generals organització'!H299="","",'0_Dades generals organització'!H299)</f>
        <v/>
      </c>
      <c r="D908" s="397" t="str">
        <f>IF(C908="","",IF('0_Dades generals organització'!J299="no","",Dades!C908))</f>
        <v/>
      </c>
      <c r="E908" s="397" t="str">
        <f>IFERROR(INDEX($D$662:$D$911,MATCH(0,INDEX(COUNTIF($E$661:E907,$D$662:$D$911),),)),"")</f>
        <v/>
      </c>
    </row>
    <row r="909" spans="2:5" x14ac:dyDescent="0.25">
      <c r="B909">
        <v>248</v>
      </c>
      <c r="C909" s="397" t="str">
        <f>IF('0_Dades generals organització'!H300="","",'0_Dades generals organització'!H300)</f>
        <v/>
      </c>
      <c r="D909" s="397" t="str">
        <f>IF(C909="","",IF('0_Dades generals organització'!J300="no","",Dades!C909))</f>
        <v/>
      </c>
      <c r="E909" s="397" t="str">
        <f>IFERROR(INDEX($D$662:$D$911,MATCH(0,INDEX(COUNTIF($E$661:E908,$D$662:$D$911),),)),"")</f>
        <v/>
      </c>
    </row>
    <row r="910" spans="2:5" x14ac:dyDescent="0.25">
      <c r="B910">
        <v>249</v>
      </c>
      <c r="C910" s="397" t="str">
        <f>IF('0_Dades generals organització'!H301="","",'0_Dades generals organització'!H301)</f>
        <v/>
      </c>
      <c r="D910" s="397" t="str">
        <f>IF(C910="","",IF('0_Dades generals organització'!J301="no","",Dades!C910))</f>
        <v/>
      </c>
      <c r="E910" s="397" t="str">
        <f>IFERROR(INDEX($D$662:$D$911,MATCH(0,INDEX(COUNTIF($E$661:E909,$D$662:$D$911),),)),"")</f>
        <v/>
      </c>
    </row>
    <row r="911" spans="2:5" x14ac:dyDescent="0.25">
      <c r="B911">
        <v>250</v>
      </c>
      <c r="C911" s="397" t="str">
        <f>IF('0_Dades generals organització'!H302="","",'0_Dades generals organització'!H302)</f>
        <v/>
      </c>
      <c r="D911" s="397" t="str">
        <f>IF(C911="","",IF('0_Dades generals organització'!J302="no","",Dades!C911))</f>
        <v/>
      </c>
      <c r="E911" s="397" t="str">
        <f>IFERROR(INDEX($D$662:$D$911,MATCH(0,INDEX(COUNTIF($E$661:E910,$D$662:$D$911),),)),"")</f>
        <v/>
      </c>
    </row>
    <row r="912" spans="2:5" x14ac:dyDescent="0.25">
      <c r="C912" s="397"/>
    </row>
  </sheetData>
  <sheetProtection sheet="1" objects="1" scenarios="1"/>
  <mergeCells count="29">
    <mergeCell ref="Y635:Y636"/>
    <mergeCell ref="Z635:Z636"/>
    <mergeCell ref="AA635:AA636"/>
    <mergeCell ref="O635:O636"/>
    <mergeCell ref="P635:P636"/>
    <mergeCell ref="Q635:Q636"/>
    <mergeCell ref="R635:R636"/>
    <mergeCell ref="S635:S636"/>
    <mergeCell ref="J635:J636"/>
    <mergeCell ref="K635:K636"/>
    <mergeCell ref="L635:L636"/>
    <mergeCell ref="M635:M636"/>
    <mergeCell ref="N635:N636"/>
    <mergeCell ref="AP144:AP145"/>
    <mergeCell ref="C82:C83"/>
    <mergeCell ref="D82:M82"/>
    <mergeCell ref="C634:C636"/>
    <mergeCell ref="D634:E634"/>
    <mergeCell ref="F634:G634"/>
    <mergeCell ref="H634:I634"/>
    <mergeCell ref="J634:K634"/>
    <mergeCell ref="P634:S634"/>
    <mergeCell ref="U634:AA634"/>
    <mergeCell ref="D635:D636"/>
    <mergeCell ref="E635:E636"/>
    <mergeCell ref="F635:F636"/>
    <mergeCell ref="G635:G636"/>
    <mergeCell ref="H635:H636"/>
    <mergeCell ref="I635:I636"/>
  </mergeCells>
  <conditionalFormatting sqref="E550">
    <cfRule type="iconSet" priority="2">
      <iconSet iconSet="3Arrows">
        <cfvo type="percent" val="0"/>
        <cfvo type="percent" val="33"/>
        <cfvo type="percent" val="67"/>
      </iconSet>
    </cfRule>
  </conditionalFormatting>
  <conditionalFormatting sqref="C557">
    <cfRule type="iconSet" priority="3">
      <iconSet iconSet="3Arrows">
        <cfvo type="percent" val="0"/>
        <cfvo type="percent" val="33"/>
        <cfvo type="percent" val="67"/>
      </iconSet>
    </cfRule>
  </conditionalFormatting>
  <conditionalFormatting sqref="AN667">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02"/>
  <sheetViews>
    <sheetView showRowColHeaders="0" zoomScaleNormal="100" workbookViewId="0">
      <pane xSplit="1" topLeftCell="B1" activePane="topRight" state="frozen"/>
      <selection pane="topRight" activeCell="C1" sqref="C1:P1"/>
    </sheetView>
  </sheetViews>
  <sheetFormatPr baseColWidth="10" defaultColWidth="9.140625" defaultRowHeight="15" x14ac:dyDescent="0.25"/>
  <cols>
    <col min="1" max="1" width="32.28515625" style="13" customWidth="1"/>
    <col min="2" max="2" width="2.140625" style="13" customWidth="1"/>
    <col min="3" max="3" width="1.7109375" style="13" customWidth="1"/>
    <col min="4" max="5" width="8.7109375" style="13" customWidth="1"/>
    <col min="6" max="6" width="9.5703125" style="13" customWidth="1"/>
    <col min="7" max="7" width="13.28515625" style="13" customWidth="1"/>
    <col min="8" max="8" width="14.140625" style="13" customWidth="1"/>
    <col min="9" max="9" width="15.5703125" style="13" customWidth="1"/>
    <col min="10" max="10" width="15.85546875" style="13" customWidth="1"/>
    <col min="11" max="11" width="16.140625" style="13" customWidth="1"/>
    <col min="12" max="12" width="15.42578125" style="13" customWidth="1"/>
    <col min="13" max="13" width="19.7109375" style="13" customWidth="1"/>
    <col min="14" max="14" width="16.85546875" style="13" customWidth="1"/>
    <col min="15" max="15" width="15.85546875" style="13" customWidth="1"/>
    <col min="16" max="16" width="3.42578125" style="13" customWidth="1"/>
    <col min="17" max="1025" width="11.42578125" style="13"/>
  </cols>
  <sheetData>
    <row r="1" spans="1:25" ht="40.700000000000003" customHeight="1" x14ac:dyDescent="0.25">
      <c r="B1" s="14"/>
      <c r="C1" s="443" t="s">
        <v>836</v>
      </c>
      <c r="D1" s="444"/>
      <c r="E1" s="444"/>
      <c r="F1" s="444"/>
      <c r="G1" s="444"/>
      <c r="H1" s="444"/>
      <c r="I1" s="444"/>
      <c r="J1" s="444"/>
      <c r="K1" s="444"/>
      <c r="L1" s="444"/>
      <c r="M1" s="444"/>
      <c r="N1" s="444"/>
      <c r="O1" s="444"/>
      <c r="P1" s="444"/>
    </row>
    <row r="2" spans="1:25" ht="40.700000000000003" customHeight="1" x14ac:dyDescent="0.3">
      <c r="B2" s="14"/>
      <c r="H2" s="2"/>
      <c r="I2" s="2"/>
      <c r="J2" s="2"/>
      <c r="K2" s="2"/>
      <c r="L2" s="2"/>
      <c r="M2" s="2"/>
      <c r="N2" s="2"/>
    </row>
    <row r="3" spans="1:25" ht="16.5" customHeight="1" x14ac:dyDescent="0.3">
      <c r="A3" s="15" t="s">
        <v>838</v>
      </c>
      <c r="B3" s="16"/>
      <c r="D3" s="449" t="s">
        <v>776</v>
      </c>
      <c r="E3" s="449"/>
      <c r="F3" s="449"/>
      <c r="G3" s="403">
        <v>2020</v>
      </c>
      <c r="H3" s="2"/>
      <c r="M3" s="2"/>
      <c r="N3" s="2"/>
    </row>
    <row r="4" spans="1:25" ht="16.5" x14ac:dyDescent="0.3">
      <c r="A4" s="17" t="s">
        <v>828</v>
      </c>
      <c r="B4" s="16"/>
      <c r="H4" s="2"/>
      <c r="I4" s="2"/>
      <c r="M4" s="2"/>
      <c r="N4" s="2"/>
    </row>
    <row r="5" spans="1:25" ht="18.75" customHeight="1" x14ac:dyDescent="0.25">
      <c r="A5" s="17" t="s">
        <v>829</v>
      </c>
      <c r="B5" s="16"/>
      <c r="D5" s="450" t="s">
        <v>839</v>
      </c>
      <c r="E5" s="450"/>
      <c r="F5" s="450"/>
      <c r="G5" s="450"/>
      <c r="H5" s="450"/>
      <c r="I5" s="450"/>
      <c r="J5" s="19" t="s">
        <v>10</v>
      </c>
      <c r="K5" s="451" t="s">
        <v>777</v>
      </c>
      <c r="L5" s="451"/>
      <c r="M5" s="451"/>
      <c r="Y5" s="20">
        <f>D6</f>
        <v>0</v>
      </c>
    </row>
    <row r="6" spans="1:25" ht="16.350000000000001" customHeight="1" x14ac:dyDescent="0.3">
      <c r="A6" s="17" t="s">
        <v>830</v>
      </c>
      <c r="B6" s="16"/>
      <c r="D6" s="452"/>
      <c r="E6" s="452"/>
      <c r="F6" s="452"/>
      <c r="G6" s="452"/>
      <c r="H6" s="452"/>
      <c r="I6" s="452"/>
      <c r="J6" s="404"/>
      <c r="K6" s="452"/>
      <c r="L6" s="452"/>
      <c r="M6" s="452"/>
      <c r="Y6" s="20">
        <f>D9</f>
        <v>0</v>
      </c>
    </row>
    <row r="7" spans="1:25" ht="16.350000000000001" customHeight="1" x14ac:dyDescent="0.3">
      <c r="A7" s="17" t="s">
        <v>831</v>
      </c>
      <c r="J7" s="2"/>
    </row>
    <row r="8" spans="1:25" ht="16.5" customHeight="1" x14ac:dyDescent="0.25">
      <c r="A8" s="17" t="s">
        <v>832</v>
      </c>
      <c r="D8" s="449" t="s">
        <v>11</v>
      </c>
      <c r="E8" s="449"/>
      <c r="F8" s="449"/>
      <c r="G8" s="449"/>
      <c r="H8" s="449"/>
      <c r="I8" s="449"/>
      <c r="J8" s="449"/>
      <c r="K8" s="449"/>
      <c r="L8" s="449"/>
      <c r="M8" s="449"/>
    </row>
    <row r="9" spans="1:25" ht="16.5" customHeight="1" x14ac:dyDescent="0.25">
      <c r="A9" s="17" t="s">
        <v>833</v>
      </c>
      <c r="D9" s="456"/>
      <c r="E9" s="456"/>
      <c r="F9" s="456"/>
      <c r="G9" s="456"/>
      <c r="H9" s="456"/>
      <c r="I9" s="456"/>
      <c r="J9" s="456"/>
      <c r="K9" s="456"/>
      <c r="L9" s="456"/>
      <c r="M9" s="456"/>
    </row>
    <row r="10" spans="1:25" ht="17.25" customHeight="1" x14ac:dyDescent="0.25">
      <c r="A10" s="17" t="s">
        <v>834</v>
      </c>
    </row>
    <row r="11" spans="1:25" ht="18.75" customHeight="1" x14ac:dyDescent="0.25">
      <c r="A11" s="17" t="s">
        <v>835</v>
      </c>
      <c r="D11" s="457" t="s">
        <v>824</v>
      </c>
      <c r="E11" s="457"/>
      <c r="F11" s="457"/>
      <c r="G11" s="457"/>
      <c r="H11" s="457"/>
      <c r="I11" s="457"/>
      <c r="J11" s="457"/>
      <c r="K11" s="457"/>
      <c r="L11" s="457"/>
      <c r="M11" s="457"/>
      <c r="N11" s="457"/>
    </row>
    <row r="12" spans="1:25" ht="15.6" customHeight="1" x14ac:dyDescent="0.25">
      <c r="A12" s="17"/>
      <c r="D12" s="457"/>
      <c r="E12" s="457"/>
      <c r="F12" s="457"/>
      <c r="G12" s="457"/>
      <c r="H12" s="457"/>
      <c r="I12" s="457"/>
      <c r="J12" s="457"/>
      <c r="K12" s="457"/>
      <c r="L12" s="457"/>
      <c r="M12" s="457"/>
      <c r="N12" s="457"/>
    </row>
    <row r="13" spans="1:25" ht="14.85" customHeight="1" x14ac:dyDescent="0.25">
      <c r="A13" s="17"/>
      <c r="D13" s="457"/>
      <c r="E13" s="457"/>
      <c r="F13" s="457"/>
      <c r="G13" s="457"/>
      <c r="H13" s="457"/>
      <c r="I13" s="457"/>
      <c r="J13" s="457"/>
      <c r="K13" s="457"/>
      <c r="L13" s="457"/>
      <c r="M13" s="457"/>
      <c r="N13" s="457"/>
    </row>
    <row r="14" spans="1:25" ht="14.85" customHeight="1" x14ac:dyDescent="0.25">
      <c r="A14" s="17"/>
      <c r="D14" s="21"/>
      <c r="E14" s="21"/>
      <c r="F14" s="21"/>
      <c r="G14" s="21"/>
      <c r="H14" s="21"/>
      <c r="I14" s="21"/>
      <c r="J14" s="21"/>
      <c r="K14" s="355" t="s">
        <v>746</v>
      </c>
      <c r="L14" s="358" t="s">
        <v>808</v>
      </c>
      <c r="M14" s="21"/>
      <c r="N14" s="21"/>
    </row>
    <row r="15" spans="1:25" ht="16.5" customHeight="1" x14ac:dyDescent="0.3">
      <c r="A15" s="22"/>
      <c r="G15" s="23" t="s">
        <v>804</v>
      </c>
      <c r="H15" s="405"/>
      <c r="I15" s="2"/>
      <c r="J15" s="23" t="s">
        <v>809</v>
      </c>
      <c r="K15" s="406"/>
      <c r="L15" s="406"/>
      <c r="M15" s="24" t="s">
        <v>12</v>
      </c>
    </row>
    <row r="16" spans="1:25" ht="5.25" customHeight="1" x14ac:dyDescent="0.3">
      <c r="A16" s="22"/>
      <c r="G16" s="37"/>
      <c r="H16" s="360"/>
      <c r="J16" s="37"/>
      <c r="K16" s="38"/>
      <c r="L16" s="38"/>
      <c r="M16" s="360"/>
    </row>
    <row r="17" spans="1:19" ht="16.5" customHeight="1" x14ac:dyDescent="0.3">
      <c r="A17" s="22"/>
      <c r="G17" s="23" t="s">
        <v>805</v>
      </c>
      <c r="H17" s="405"/>
      <c r="I17" s="2"/>
      <c r="J17" s="23" t="s">
        <v>810</v>
      </c>
      <c r="K17" s="406"/>
      <c r="L17" s="406"/>
      <c r="M17" s="24" t="s">
        <v>12</v>
      </c>
    </row>
    <row r="18" spans="1:19" ht="5.25" customHeight="1" x14ac:dyDescent="0.3">
      <c r="A18" s="22"/>
      <c r="F18" s="25"/>
      <c r="G18" s="37"/>
      <c r="H18" s="360"/>
      <c r="J18" s="37"/>
      <c r="K18" s="38"/>
      <c r="L18" s="38"/>
      <c r="M18" s="360"/>
    </row>
    <row r="19" spans="1:19" s="26" customFormat="1" ht="18" x14ac:dyDescent="0.3">
      <c r="A19" s="13"/>
      <c r="D19" s="13"/>
      <c r="E19" s="13"/>
      <c r="F19" s="13"/>
      <c r="G19" s="23" t="s">
        <v>806</v>
      </c>
      <c r="H19" s="405"/>
      <c r="I19" s="2"/>
      <c r="J19" s="23" t="s">
        <v>811</v>
      </c>
      <c r="K19" s="406"/>
      <c r="L19" s="406"/>
      <c r="M19" s="24" t="s">
        <v>12</v>
      </c>
      <c r="N19" s="13"/>
      <c r="O19" s="27"/>
      <c r="P19" s="27"/>
      <c r="Q19" s="27"/>
      <c r="R19" s="27"/>
      <c r="S19" s="27"/>
    </row>
    <row r="20" spans="1:19" ht="5.25" customHeight="1" x14ac:dyDescent="0.25">
      <c r="F20" s="28"/>
      <c r="G20" s="37"/>
      <c r="H20" s="360"/>
      <c r="J20" s="37"/>
      <c r="K20" s="38"/>
      <c r="L20" s="38"/>
      <c r="M20" s="360"/>
    </row>
    <row r="21" spans="1:19" s="26" customFormat="1" ht="31.5" customHeight="1" x14ac:dyDescent="0.3">
      <c r="D21" s="13"/>
      <c r="E21" s="13"/>
      <c r="F21" s="13"/>
      <c r="G21" s="29" t="s">
        <v>807</v>
      </c>
      <c r="H21" s="30">
        <f>IF(ISNUMBER(G3),G3,"")</f>
        <v>2020</v>
      </c>
      <c r="I21" s="2"/>
      <c r="J21" s="29" t="s">
        <v>812</v>
      </c>
      <c r="K21" s="31" t="str">
        <f>IF((Dades!AN636)&gt;0,Dades!AN636,"")</f>
        <v/>
      </c>
      <c r="L21" s="31" t="str">
        <f>IF((Dades!E522)&gt;0,Dades!E522,"")</f>
        <v/>
      </c>
      <c r="M21" s="32" t="s">
        <v>13</v>
      </c>
      <c r="N21" s="13"/>
      <c r="O21" s="27"/>
      <c r="P21" s="27"/>
      <c r="Q21" s="27"/>
      <c r="R21" s="27"/>
      <c r="S21" s="27"/>
    </row>
    <row r="22" spans="1:19" s="26" customFormat="1" ht="9" customHeight="1" x14ac:dyDescent="0.25">
      <c r="D22" s="13"/>
      <c r="E22" s="13"/>
      <c r="F22" s="13"/>
      <c r="G22" s="13"/>
      <c r="H22" s="33"/>
      <c r="I22" s="33"/>
      <c r="J22" s="13"/>
      <c r="K22" s="13"/>
      <c r="L22" s="33"/>
      <c r="M22" s="13"/>
      <c r="N22" s="13"/>
      <c r="O22" s="27"/>
      <c r="P22" s="27"/>
      <c r="Q22" s="27"/>
      <c r="R22" s="27"/>
      <c r="S22" s="27"/>
    </row>
    <row r="23" spans="1:19" s="26" customFormat="1" ht="27.75" customHeight="1" x14ac:dyDescent="0.2">
      <c r="D23" s="445" t="s">
        <v>825</v>
      </c>
      <c r="E23" s="445"/>
      <c r="F23" s="445"/>
      <c r="G23" s="445"/>
      <c r="H23" s="445"/>
      <c r="I23" s="445"/>
      <c r="J23" s="445"/>
      <c r="K23" s="445"/>
      <c r="L23" s="445"/>
      <c r="M23" s="445"/>
      <c r="N23" s="445"/>
      <c r="O23" s="27"/>
      <c r="P23" s="27"/>
      <c r="Q23" s="27"/>
      <c r="R23" s="27"/>
      <c r="S23" s="27"/>
    </row>
    <row r="24" spans="1:19" s="26" customFormat="1" ht="20.25" customHeight="1" x14ac:dyDescent="0.2">
      <c r="D24" s="445"/>
      <c r="E24" s="445"/>
      <c r="F24" s="445"/>
      <c r="G24" s="445"/>
      <c r="H24" s="445"/>
      <c r="I24" s="445"/>
      <c r="J24" s="445"/>
      <c r="K24" s="445"/>
      <c r="L24" s="445"/>
      <c r="M24" s="445"/>
      <c r="N24" s="445"/>
      <c r="O24" s="27"/>
      <c r="P24" s="27"/>
      <c r="Q24" s="27"/>
      <c r="R24" s="27"/>
      <c r="S24" s="27"/>
    </row>
    <row r="25" spans="1:19" ht="9" customHeight="1" x14ac:dyDescent="0.3">
      <c r="A25" s="22"/>
      <c r="D25" s="35"/>
      <c r="E25" s="35"/>
      <c r="F25" s="35"/>
      <c r="G25" s="35"/>
      <c r="H25" s="35"/>
      <c r="I25" s="35"/>
      <c r="J25" s="35"/>
      <c r="K25" s="35"/>
      <c r="L25" s="35"/>
      <c r="M25" s="35"/>
      <c r="N25" s="35"/>
    </row>
    <row r="26" spans="1:19" s="26" customFormat="1" ht="16.5" customHeight="1" x14ac:dyDescent="0.25">
      <c r="D26" s="35"/>
      <c r="G26" s="35"/>
      <c r="H26" s="454" t="s">
        <v>673</v>
      </c>
      <c r="I26" s="446" t="s">
        <v>813</v>
      </c>
      <c r="J26" s="453"/>
      <c r="K26" s="453"/>
      <c r="L26" s="447"/>
      <c r="N26" s="36"/>
      <c r="O26" s="27"/>
      <c r="P26" s="27"/>
      <c r="Q26" s="27"/>
      <c r="R26" s="27"/>
      <c r="S26" s="27"/>
    </row>
    <row r="27" spans="1:19" ht="33" customHeight="1" x14ac:dyDescent="0.25">
      <c r="D27" s="35"/>
      <c r="E27" s="26"/>
      <c r="F27" s="26"/>
      <c r="G27" s="35"/>
      <c r="H27" s="455"/>
      <c r="I27" s="23" t="s">
        <v>814</v>
      </c>
      <c r="J27" s="23" t="s">
        <v>815</v>
      </c>
      <c r="K27" s="356" t="s">
        <v>816</v>
      </c>
      <c r="L27" s="1" t="s">
        <v>817</v>
      </c>
      <c r="N27" s="26"/>
      <c r="O27" s="35"/>
    </row>
    <row r="28" spans="1:19" ht="32.25" customHeight="1" x14ac:dyDescent="0.25">
      <c r="D28" s="35"/>
      <c r="E28" s="26"/>
      <c r="F28" s="26"/>
      <c r="G28" s="23" t="s">
        <v>818</v>
      </c>
      <c r="H28" s="361">
        <f>IF(ISNUMBER(H21),H21,"")</f>
        <v>2020</v>
      </c>
      <c r="I28" s="407"/>
      <c r="J28" s="408"/>
      <c r="K28" s="407"/>
      <c r="L28" s="407"/>
      <c r="M28" s="36"/>
      <c r="N28" s="26"/>
      <c r="O28" s="35"/>
    </row>
    <row r="29" spans="1:19" ht="5.25" customHeight="1" x14ac:dyDescent="0.3">
      <c r="G29" s="37"/>
      <c r="H29" s="362"/>
      <c r="I29" s="363"/>
      <c r="J29" s="364"/>
      <c r="K29" s="365"/>
      <c r="L29" s="365"/>
      <c r="M29" s="359"/>
    </row>
    <row r="30" spans="1:19" ht="17.25" customHeight="1" x14ac:dyDescent="0.3">
      <c r="A30" s="22"/>
      <c r="D30" s="35"/>
      <c r="E30" s="28"/>
      <c r="G30" s="23" t="s">
        <v>819</v>
      </c>
      <c r="H30" s="366" t="str">
        <f>IF(ISNUMBER(H15),H15,"")</f>
        <v/>
      </c>
      <c r="I30" s="367" t="str">
        <f>IF(AND(ISNUMBER(H30),ISTEXT(I28)),I28,"")</f>
        <v/>
      </c>
      <c r="J30" s="409"/>
      <c r="K30" s="410"/>
      <c r="L30" s="367" t="str">
        <f>IF(AND(ISNUMBER(H30),ISTEXT(L28)),L28,"")</f>
        <v/>
      </c>
      <c r="M30" s="36"/>
      <c r="N30" s="26"/>
    </row>
    <row r="31" spans="1:19" ht="17.25" customHeight="1" x14ac:dyDescent="0.3">
      <c r="A31" s="22"/>
      <c r="G31" s="23" t="s">
        <v>821</v>
      </c>
      <c r="H31" s="366" t="str">
        <f>IF(ISNUMBER(H17),H17,"")</f>
        <v/>
      </c>
      <c r="I31" s="367" t="str">
        <f>IF(AND(ISNUMBER(H31),ISTEXT(I28)),I28,"")</f>
        <v/>
      </c>
      <c r="J31" s="409"/>
      <c r="K31" s="410"/>
      <c r="L31" s="367" t="str">
        <f>IF(AND(ISNUMBER(H31),ISTEXT(L28)),L28,"")</f>
        <v/>
      </c>
      <c r="M31" s="36"/>
    </row>
    <row r="32" spans="1:19" ht="17.25" customHeight="1" x14ac:dyDescent="0.3">
      <c r="A32" s="22"/>
      <c r="G32" s="23" t="s">
        <v>820</v>
      </c>
      <c r="H32" s="366" t="str">
        <f>IF(ISNUMBER(H19),H19,"")</f>
        <v/>
      </c>
      <c r="I32" s="367" t="str">
        <f>IF(AND(ISNUMBER(H32),ISTEXT(I28)),I28,"")</f>
        <v/>
      </c>
      <c r="J32" s="409"/>
      <c r="K32" s="410"/>
      <c r="L32" s="367" t="str">
        <f>IF(AND(ISNUMBER(H32),ISTEXT(L28)),L28,"")</f>
        <v/>
      </c>
      <c r="M32" s="36"/>
    </row>
    <row r="33" spans="1:14" ht="5.25" customHeight="1" x14ac:dyDescent="0.3">
      <c r="A33" s="22"/>
      <c r="E33" s="35"/>
      <c r="M33" s="36"/>
    </row>
    <row r="34" spans="1:14" ht="17.25" customHeight="1" x14ac:dyDescent="0.3">
      <c r="A34" s="22"/>
      <c r="D34" s="39"/>
    </row>
    <row r="35" spans="1:14" ht="18.75" customHeight="1" x14ac:dyDescent="0.3">
      <c r="A35" s="22"/>
      <c r="D35" s="445" t="s">
        <v>826</v>
      </c>
      <c r="E35" s="445"/>
      <c r="F35" s="445"/>
      <c r="G35" s="445"/>
      <c r="H35" s="445"/>
      <c r="I35" s="445"/>
      <c r="J35" s="445"/>
      <c r="K35" s="445"/>
      <c r="L35" s="445"/>
      <c r="M35" s="445"/>
      <c r="N35" s="445"/>
    </row>
    <row r="36" spans="1:14" ht="18.75" customHeight="1" x14ac:dyDescent="0.3">
      <c r="A36" s="22"/>
      <c r="D36" s="445"/>
      <c r="E36" s="445"/>
      <c r="F36" s="445"/>
      <c r="G36" s="445"/>
      <c r="H36" s="445"/>
      <c r="I36" s="445"/>
      <c r="J36" s="445"/>
      <c r="K36" s="445"/>
      <c r="L36" s="445"/>
      <c r="M36" s="445"/>
      <c r="N36" s="445"/>
    </row>
    <row r="37" spans="1:14" ht="6" customHeight="1" x14ac:dyDescent="0.3">
      <c r="A37" s="22"/>
      <c r="E37" s="35"/>
      <c r="F37" s="35"/>
      <c r="G37" s="35"/>
      <c r="H37" s="35"/>
      <c r="I37" s="35"/>
      <c r="J37" s="35"/>
      <c r="K37" s="35"/>
      <c r="L37" s="35"/>
      <c r="M37" s="35"/>
      <c r="N37" s="35"/>
    </row>
    <row r="38" spans="1:14" ht="17.25" customHeight="1" x14ac:dyDescent="0.3">
      <c r="A38" s="22"/>
      <c r="H38" s="454" t="s">
        <v>673</v>
      </c>
      <c r="I38" s="446" t="s">
        <v>746</v>
      </c>
      <c r="J38" s="447"/>
      <c r="K38" s="446" t="s">
        <v>808</v>
      </c>
      <c r="L38" s="447"/>
    </row>
    <row r="39" spans="1:14" ht="33" customHeight="1" x14ac:dyDescent="0.25">
      <c r="G39" s="35"/>
      <c r="H39" s="455"/>
      <c r="I39" s="23" t="s">
        <v>822</v>
      </c>
      <c r="J39" s="1" t="s">
        <v>823</v>
      </c>
      <c r="K39" s="357" t="s">
        <v>822</v>
      </c>
      <c r="L39" s="356" t="s">
        <v>823</v>
      </c>
    </row>
    <row r="40" spans="1:14" ht="30.75" customHeight="1" x14ac:dyDescent="0.25">
      <c r="G40" s="23" t="s">
        <v>818</v>
      </c>
      <c r="H40" s="368">
        <f>IF(ISNUMBER(H21),H21,"")</f>
        <v>2020</v>
      </c>
      <c r="I40" s="411"/>
      <c r="J40" s="412"/>
      <c r="K40" s="411"/>
      <c r="L40" s="412"/>
      <c r="N40" s="40"/>
    </row>
    <row r="41" spans="1:14" ht="5.25" customHeight="1" x14ac:dyDescent="0.25">
      <c r="G41" s="37"/>
      <c r="H41" s="369"/>
      <c r="I41" s="369"/>
      <c r="J41" s="365"/>
      <c r="K41" s="369"/>
      <c r="L41" s="365"/>
    </row>
    <row r="42" spans="1:14" ht="18" customHeight="1" x14ac:dyDescent="0.25">
      <c r="G42" s="23" t="s">
        <v>819</v>
      </c>
      <c r="H42" s="366" t="str">
        <f>IF(ISNUMBER(H15),H15,"")</f>
        <v/>
      </c>
      <c r="I42" s="413"/>
      <c r="J42" s="413"/>
      <c r="K42" s="413"/>
      <c r="L42" s="413"/>
    </row>
    <row r="43" spans="1:14" ht="18" customHeight="1" x14ac:dyDescent="0.25">
      <c r="G43" s="23" t="s">
        <v>821</v>
      </c>
      <c r="H43" s="368" t="str">
        <f>IF(ISNUMBER(H17),H17,"")</f>
        <v/>
      </c>
      <c r="I43" s="412"/>
      <c r="J43" s="413"/>
      <c r="K43" s="412"/>
      <c r="L43" s="413"/>
    </row>
    <row r="44" spans="1:14" ht="16.5" customHeight="1" x14ac:dyDescent="0.25">
      <c r="G44" s="23" t="s">
        <v>820</v>
      </c>
      <c r="H44" s="368" t="str">
        <f>IF(ISNUMBER(H19),H19,"")</f>
        <v/>
      </c>
      <c r="I44" s="412"/>
      <c r="J44" s="413"/>
      <c r="K44" s="412"/>
      <c r="L44" s="413"/>
    </row>
    <row r="45" spans="1:14" ht="5.25" customHeight="1" x14ac:dyDescent="0.25"/>
    <row r="46" spans="1:14" ht="18.75" customHeight="1" x14ac:dyDescent="0.25"/>
    <row r="47" spans="1:14" ht="18.75" customHeight="1" x14ac:dyDescent="0.25">
      <c r="D47" s="445" t="s">
        <v>1007</v>
      </c>
      <c r="E47" s="445"/>
      <c r="F47" s="445"/>
      <c r="G47" s="445"/>
      <c r="H47" s="445"/>
      <c r="I47" s="445"/>
      <c r="J47" s="445"/>
      <c r="K47" s="445"/>
      <c r="L47" s="445"/>
      <c r="M47" s="445"/>
      <c r="N47" s="445"/>
    </row>
    <row r="48" spans="1:14" ht="22.5" customHeight="1" x14ac:dyDescent="0.25">
      <c r="D48" s="445"/>
      <c r="E48" s="445"/>
      <c r="F48" s="445"/>
      <c r="G48" s="445"/>
      <c r="H48" s="445"/>
      <c r="I48" s="445"/>
      <c r="J48" s="445"/>
      <c r="K48" s="445"/>
      <c r="L48" s="445"/>
      <c r="M48" s="445"/>
      <c r="N48" s="445"/>
    </row>
    <row r="49" spans="7:15" ht="6.75" customHeight="1" x14ac:dyDescent="0.25"/>
    <row r="50" spans="7:15" ht="56.25" customHeight="1" x14ac:dyDescent="0.25">
      <c r="G50" s="35"/>
      <c r="H50" s="446" t="s">
        <v>1008</v>
      </c>
      <c r="I50" s="447"/>
      <c r="J50" s="390" t="s">
        <v>1009</v>
      </c>
      <c r="K50" s="389" t="s">
        <v>823</v>
      </c>
      <c r="L50" s="389" t="s">
        <v>822</v>
      </c>
      <c r="M50" s="401" t="s">
        <v>1022</v>
      </c>
      <c r="N50" s="401" t="s">
        <v>1023</v>
      </c>
      <c r="O50" s="401" t="s">
        <v>10</v>
      </c>
    </row>
    <row r="51" spans="7:15" ht="15.75" hidden="1" customHeight="1" x14ac:dyDescent="0.25">
      <c r="G51" s="393" t="s">
        <v>1010</v>
      </c>
      <c r="H51" s="441" t="s">
        <v>1011</v>
      </c>
      <c r="I51" s="442"/>
      <c r="J51" s="393"/>
      <c r="K51" s="393" t="s">
        <v>1012</v>
      </c>
      <c r="L51" s="394" t="s">
        <v>1013</v>
      </c>
      <c r="M51" s="394" t="s">
        <v>1024</v>
      </c>
      <c r="N51" s="394" t="s">
        <v>1025</v>
      </c>
      <c r="O51" s="394"/>
    </row>
    <row r="52" spans="7:15" ht="27" hidden="1" customHeight="1" x14ac:dyDescent="0.25">
      <c r="G52" s="393"/>
      <c r="H52" s="441"/>
      <c r="I52" s="442"/>
      <c r="J52" s="393"/>
      <c r="K52" s="393"/>
      <c r="L52" s="394"/>
      <c r="M52" s="394"/>
      <c r="N52" s="394"/>
      <c r="O52" s="394"/>
    </row>
    <row r="53" spans="7:15" ht="15" customHeight="1" x14ac:dyDescent="0.25">
      <c r="G53" s="392">
        <v>1</v>
      </c>
      <c r="H53" s="448"/>
      <c r="I53" s="448"/>
      <c r="J53" s="414"/>
      <c r="K53" s="414"/>
      <c r="L53" s="414"/>
      <c r="M53" s="414"/>
      <c r="N53" s="414"/>
      <c r="O53" s="414"/>
    </row>
    <row r="54" spans="7:15" x14ac:dyDescent="0.25">
      <c r="G54" s="392">
        <v>2</v>
      </c>
      <c r="H54" s="440"/>
      <c r="I54" s="440"/>
      <c r="J54" s="414"/>
      <c r="K54" s="414"/>
      <c r="L54" s="414"/>
      <c r="M54" s="414"/>
      <c r="N54" s="414"/>
      <c r="O54" s="414"/>
    </row>
    <row r="55" spans="7:15" x14ac:dyDescent="0.25">
      <c r="G55" s="392">
        <v>3</v>
      </c>
      <c r="H55" s="440"/>
      <c r="I55" s="440"/>
      <c r="J55" s="414"/>
      <c r="K55" s="414"/>
      <c r="L55" s="414"/>
      <c r="M55" s="414"/>
      <c r="N55" s="414"/>
      <c r="O55" s="414"/>
    </row>
    <row r="56" spans="7:15" x14ac:dyDescent="0.25">
      <c r="G56" s="392">
        <v>4</v>
      </c>
      <c r="H56" s="440"/>
      <c r="I56" s="440"/>
      <c r="J56" s="414"/>
      <c r="K56" s="414"/>
      <c r="L56" s="414"/>
      <c r="M56" s="414"/>
      <c r="N56" s="414"/>
      <c r="O56" s="414"/>
    </row>
    <row r="57" spans="7:15" x14ac:dyDescent="0.25">
      <c r="G57" s="392">
        <v>5</v>
      </c>
      <c r="H57" s="440"/>
      <c r="I57" s="440"/>
      <c r="J57" s="414"/>
      <c r="K57" s="414"/>
      <c r="L57" s="414"/>
      <c r="M57" s="414"/>
      <c r="N57" s="414"/>
      <c r="O57" s="414"/>
    </row>
    <row r="58" spans="7:15" x14ac:dyDescent="0.25">
      <c r="G58" s="392">
        <v>6</v>
      </c>
      <c r="H58" s="440"/>
      <c r="I58" s="440"/>
      <c r="J58" s="414"/>
      <c r="K58" s="414"/>
      <c r="L58" s="414"/>
      <c r="M58" s="414"/>
      <c r="N58" s="414"/>
      <c r="O58" s="414"/>
    </row>
    <row r="59" spans="7:15" x14ac:dyDescent="0.25">
      <c r="G59" s="392">
        <v>7</v>
      </c>
      <c r="H59" s="440"/>
      <c r="I59" s="440"/>
      <c r="J59" s="414"/>
      <c r="K59" s="414"/>
      <c r="L59" s="414"/>
      <c r="M59" s="414"/>
      <c r="N59" s="414"/>
      <c r="O59" s="414"/>
    </row>
    <row r="60" spans="7:15" x14ac:dyDescent="0.25">
      <c r="G60" s="392">
        <v>8</v>
      </c>
      <c r="H60" s="440"/>
      <c r="I60" s="440"/>
      <c r="J60" s="414"/>
      <c r="K60" s="414"/>
      <c r="L60" s="414"/>
      <c r="M60" s="414"/>
      <c r="N60" s="414"/>
      <c r="O60" s="414"/>
    </row>
    <row r="61" spans="7:15" x14ac:dyDescent="0.25">
      <c r="G61" s="392">
        <v>9</v>
      </c>
      <c r="H61" s="440"/>
      <c r="I61" s="440"/>
      <c r="J61" s="414"/>
      <c r="K61" s="414"/>
      <c r="L61" s="414"/>
      <c r="M61" s="414"/>
      <c r="N61" s="414"/>
      <c r="O61" s="414"/>
    </row>
    <row r="62" spans="7:15" x14ac:dyDescent="0.25">
      <c r="G62" s="392">
        <v>10</v>
      </c>
      <c r="H62" s="440"/>
      <c r="I62" s="440"/>
      <c r="J62" s="414"/>
      <c r="K62" s="414"/>
      <c r="L62" s="414"/>
      <c r="M62" s="414"/>
      <c r="N62" s="414"/>
      <c r="O62" s="414"/>
    </row>
    <row r="63" spans="7:15" x14ac:dyDescent="0.25">
      <c r="G63" s="392">
        <v>11</v>
      </c>
      <c r="H63" s="440"/>
      <c r="I63" s="440"/>
      <c r="J63" s="414"/>
      <c r="K63" s="414"/>
      <c r="L63" s="414"/>
      <c r="M63" s="414"/>
      <c r="N63" s="414"/>
      <c r="O63" s="414"/>
    </row>
    <row r="64" spans="7:15" x14ac:dyDescent="0.25">
      <c r="G64" s="392">
        <v>12</v>
      </c>
      <c r="H64" s="440"/>
      <c r="I64" s="440"/>
      <c r="J64" s="414"/>
      <c r="K64" s="414"/>
      <c r="L64" s="414"/>
      <c r="M64" s="414"/>
      <c r="N64" s="414"/>
      <c r="O64" s="414"/>
    </row>
    <row r="65" spans="5:15" x14ac:dyDescent="0.25">
      <c r="G65" s="392">
        <v>13</v>
      </c>
      <c r="H65" s="440"/>
      <c r="I65" s="440"/>
      <c r="J65" s="414"/>
      <c r="K65" s="414"/>
      <c r="L65" s="414"/>
      <c r="M65" s="414"/>
      <c r="N65" s="414"/>
      <c r="O65" s="414"/>
    </row>
    <row r="66" spans="5:15" x14ac:dyDescent="0.25">
      <c r="G66" s="392">
        <v>14</v>
      </c>
      <c r="H66" s="440"/>
      <c r="I66" s="440"/>
      <c r="J66" s="414"/>
      <c r="K66" s="414"/>
      <c r="L66" s="414"/>
      <c r="M66" s="414"/>
      <c r="N66" s="414"/>
      <c r="O66" s="414"/>
    </row>
    <row r="67" spans="5:15" x14ac:dyDescent="0.25">
      <c r="G67" s="392">
        <v>15</v>
      </c>
      <c r="H67" s="440"/>
      <c r="I67" s="440"/>
      <c r="J67" s="414"/>
      <c r="K67" s="414"/>
      <c r="L67" s="414"/>
      <c r="M67" s="414"/>
      <c r="N67" s="414"/>
      <c r="O67" s="414"/>
    </row>
    <row r="68" spans="5:15" x14ac:dyDescent="0.25">
      <c r="G68" s="392">
        <v>16</v>
      </c>
      <c r="H68" s="440"/>
      <c r="I68" s="440"/>
      <c r="J68" s="414"/>
      <c r="K68" s="414"/>
      <c r="L68" s="414"/>
      <c r="M68" s="414"/>
      <c r="N68" s="414"/>
      <c r="O68" s="414"/>
    </row>
    <row r="69" spans="5:15" x14ac:dyDescent="0.25">
      <c r="G69" s="392">
        <v>17</v>
      </c>
      <c r="H69" s="440"/>
      <c r="I69" s="440"/>
      <c r="J69" s="414"/>
      <c r="K69" s="414"/>
      <c r="L69" s="414"/>
      <c r="M69" s="414"/>
      <c r="N69" s="414"/>
      <c r="O69" s="414"/>
    </row>
    <row r="70" spans="5:15" x14ac:dyDescent="0.25">
      <c r="E70" s="20"/>
      <c r="F70" s="20"/>
      <c r="G70" s="392">
        <v>18</v>
      </c>
      <c r="H70" s="440"/>
      <c r="I70" s="440"/>
      <c r="J70" s="414"/>
      <c r="K70" s="414"/>
      <c r="L70" s="414"/>
      <c r="M70" s="414"/>
      <c r="N70" s="414"/>
      <c r="O70" s="414"/>
    </row>
    <row r="71" spans="5:15" x14ac:dyDescent="0.25">
      <c r="G71" s="392">
        <v>19</v>
      </c>
      <c r="H71" s="440"/>
      <c r="I71" s="440"/>
      <c r="J71" s="414"/>
      <c r="K71" s="414"/>
      <c r="L71" s="414"/>
      <c r="M71" s="414"/>
      <c r="N71" s="414"/>
      <c r="O71" s="414"/>
    </row>
    <row r="72" spans="5:15" x14ac:dyDescent="0.25">
      <c r="G72" s="392">
        <v>20</v>
      </c>
      <c r="H72" s="440"/>
      <c r="I72" s="440"/>
      <c r="J72" s="414"/>
      <c r="K72" s="414"/>
      <c r="L72" s="414"/>
      <c r="M72" s="414"/>
      <c r="N72" s="414"/>
      <c r="O72" s="414"/>
    </row>
    <row r="73" spans="5:15" x14ac:dyDescent="0.25">
      <c r="G73" s="392">
        <v>21</v>
      </c>
      <c r="H73" s="440"/>
      <c r="I73" s="440"/>
      <c r="J73" s="414"/>
      <c r="K73" s="414"/>
      <c r="L73" s="414"/>
      <c r="M73" s="414"/>
      <c r="N73" s="414"/>
      <c r="O73" s="414"/>
    </row>
    <row r="74" spans="5:15" x14ac:dyDescent="0.25">
      <c r="G74" s="392">
        <v>22</v>
      </c>
      <c r="H74" s="440"/>
      <c r="I74" s="440"/>
      <c r="J74" s="414"/>
      <c r="K74" s="414"/>
      <c r="L74" s="414"/>
      <c r="M74" s="414"/>
      <c r="N74" s="414"/>
      <c r="O74" s="414"/>
    </row>
    <row r="75" spans="5:15" x14ac:dyDescent="0.25">
      <c r="G75" s="392">
        <v>23</v>
      </c>
      <c r="H75" s="440"/>
      <c r="I75" s="440"/>
      <c r="J75" s="414"/>
      <c r="K75" s="414"/>
      <c r="L75" s="414"/>
      <c r="M75" s="414"/>
      <c r="N75" s="414"/>
      <c r="O75" s="414"/>
    </row>
    <row r="76" spans="5:15" x14ac:dyDescent="0.25">
      <c r="G76" s="392">
        <v>24</v>
      </c>
      <c r="H76" s="440"/>
      <c r="I76" s="440"/>
      <c r="J76" s="414"/>
      <c r="K76" s="414"/>
      <c r="L76" s="414"/>
      <c r="M76" s="414"/>
      <c r="N76" s="414"/>
      <c r="O76" s="414"/>
    </row>
    <row r="77" spans="5:15" x14ac:dyDescent="0.25">
      <c r="G77" s="392">
        <v>25</v>
      </c>
      <c r="H77" s="440"/>
      <c r="I77" s="440"/>
      <c r="J77" s="414"/>
      <c r="K77" s="414"/>
      <c r="L77" s="414"/>
      <c r="M77" s="414"/>
      <c r="N77" s="414"/>
      <c r="O77" s="414"/>
    </row>
    <row r="78" spans="5:15" x14ac:dyDescent="0.25">
      <c r="G78" s="392">
        <v>26</v>
      </c>
      <c r="H78" s="440"/>
      <c r="I78" s="440"/>
      <c r="J78" s="414"/>
      <c r="K78" s="414"/>
      <c r="L78" s="414"/>
      <c r="M78" s="414"/>
      <c r="N78" s="414"/>
      <c r="O78" s="414"/>
    </row>
    <row r="79" spans="5:15" x14ac:dyDescent="0.25">
      <c r="G79" s="392">
        <v>27</v>
      </c>
      <c r="H79" s="440"/>
      <c r="I79" s="440"/>
      <c r="J79" s="414"/>
      <c r="K79" s="414"/>
      <c r="L79" s="414"/>
      <c r="M79" s="414"/>
      <c r="N79" s="414"/>
      <c r="O79" s="414"/>
    </row>
    <row r="80" spans="5:15" x14ac:dyDescent="0.25">
      <c r="G80" s="392">
        <v>28</v>
      </c>
      <c r="H80" s="440"/>
      <c r="I80" s="440"/>
      <c r="J80" s="414"/>
      <c r="K80" s="414"/>
      <c r="L80" s="414"/>
      <c r="M80" s="414"/>
      <c r="N80" s="414"/>
      <c r="O80" s="414"/>
    </row>
    <row r="81" spans="7:15" x14ac:dyDescent="0.25">
      <c r="G81" s="392">
        <v>29</v>
      </c>
      <c r="H81" s="440"/>
      <c r="I81" s="440"/>
      <c r="J81" s="414"/>
      <c r="K81" s="414"/>
      <c r="L81" s="414"/>
      <c r="M81" s="414"/>
      <c r="N81" s="414"/>
      <c r="O81" s="414"/>
    </row>
    <row r="82" spans="7:15" x14ac:dyDescent="0.25">
      <c r="G82" s="392">
        <v>30</v>
      </c>
      <c r="H82" s="440"/>
      <c r="I82" s="440"/>
      <c r="J82" s="414"/>
      <c r="K82" s="414"/>
      <c r="L82" s="414"/>
      <c r="M82" s="414"/>
      <c r="N82" s="414"/>
      <c r="O82" s="414"/>
    </row>
    <row r="83" spans="7:15" x14ac:dyDescent="0.25">
      <c r="G83" s="392">
        <v>31</v>
      </c>
      <c r="H83" s="440"/>
      <c r="I83" s="440"/>
      <c r="J83" s="414"/>
      <c r="K83" s="414"/>
      <c r="L83" s="414"/>
      <c r="M83" s="414"/>
      <c r="N83" s="414"/>
      <c r="O83" s="414"/>
    </row>
    <row r="84" spans="7:15" x14ac:dyDescent="0.25">
      <c r="G84" s="392">
        <v>32</v>
      </c>
      <c r="H84" s="440"/>
      <c r="I84" s="440"/>
      <c r="J84" s="414"/>
      <c r="K84" s="414"/>
      <c r="L84" s="414"/>
      <c r="M84" s="414"/>
      <c r="N84" s="414"/>
      <c r="O84" s="414"/>
    </row>
    <row r="85" spans="7:15" x14ac:dyDescent="0.25">
      <c r="G85" s="392">
        <v>33</v>
      </c>
      <c r="H85" s="440"/>
      <c r="I85" s="440"/>
      <c r="J85" s="414"/>
      <c r="K85" s="414"/>
      <c r="L85" s="414"/>
      <c r="M85" s="414"/>
      <c r="N85" s="414"/>
      <c r="O85" s="414"/>
    </row>
    <row r="86" spans="7:15" x14ac:dyDescent="0.25">
      <c r="G86" s="392">
        <v>34</v>
      </c>
      <c r="H86" s="440"/>
      <c r="I86" s="440"/>
      <c r="J86" s="414"/>
      <c r="K86" s="414"/>
      <c r="L86" s="414"/>
      <c r="M86" s="414"/>
      <c r="N86" s="414"/>
      <c r="O86" s="414"/>
    </row>
    <row r="87" spans="7:15" x14ac:dyDescent="0.25">
      <c r="G87" s="392">
        <v>35</v>
      </c>
      <c r="H87" s="440"/>
      <c r="I87" s="440"/>
      <c r="J87" s="414"/>
      <c r="K87" s="414"/>
      <c r="L87" s="414"/>
      <c r="M87" s="414"/>
      <c r="N87" s="414"/>
      <c r="O87" s="414"/>
    </row>
    <row r="88" spans="7:15" x14ac:dyDescent="0.25">
      <c r="G88" s="392">
        <v>36</v>
      </c>
      <c r="H88" s="440"/>
      <c r="I88" s="440"/>
      <c r="J88" s="414"/>
      <c r="K88" s="414"/>
      <c r="L88" s="414"/>
      <c r="M88" s="414"/>
      <c r="N88" s="414"/>
      <c r="O88" s="414"/>
    </row>
    <row r="89" spans="7:15" x14ac:dyDescent="0.25">
      <c r="G89" s="392">
        <v>37</v>
      </c>
      <c r="H89" s="440"/>
      <c r="I89" s="440"/>
      <c r="J89" s="414"/>
      <c r="K89" s="414"/>
      <c r="L89" s="414"/>
      <c r="M89" s="414"/>
      <c r="N89" s="414"/>
      <c r="O89" s="414"/>
    </row>
    <row r="90" spans="7:15" x14ac:dyDescent="0.25">
      <c r="G90" s="392">
        <v>38</v>
      </c>
      <c r="H90" s="440"/>
      <c r="I90" s="440"/>
      <c r="J90" s="414"/>
      <c r="K90" s="414"/>
      <c r="L90" s="414"/>
      <c r="M90" s="414"/>
      <c r="N90" s="414"/>
      <c r="O90" s="414"/>
    </row>
    <row r="91" spans="7:15" x14ac:dyDescent="0.25">
      <c r="G91" s="392">
        <v>39</v>
      </c>
      <c r="H91" s="440"/>
      <c r="I91" s="440"/>
      <c r="J91" s="414"/>
      <c r="K91" s="414"/>
      <c r="L91" s="414"/>
      <c r="M91" s="414"/>
      <c r="N91" s="414"/>
      <c r="O91" s="414"/>
    </row>
    <row r="92" spans="7:15" x14ac:dyDescent="0.25">
      <c r="G92" s="392">
        <v>40</v>
      </c>
      <c r="H92" s="440"/>
      <c r="I92" s="440"/>
      <c r="J92" s="414"/>
      <c r="K92" s="414"/>
      <c r="L92" s="414"/>
      <c r="M92" s="414"/>
      <c r="N92" s="414"/>
      <c r="O92" s="414"/>
    </row>
    <row r="93" spans="7:15" x14ac:dyDescent="0.25">
      <c r="G93" s="392">
        <v>41</v>
      </c>
      <c r="H93" s="440"/>
      <c r="I93" s="440"/>
      <c r="J93" s="414"/>
      <c r="K93" s="414"/>
      <c r="L93" s="414"/>
      <c r="M93" s="414"/>
      <c r="N93" s="414"/>
      <c r="O93" s="414"/>
    </row>
    <row r="94" spans="7:15" x14ac:dyDescent="0.25">
      <c r="G94" s="392">
        <v>42</v>
      </c>
      <c r="H94" s="440"/>
      <c r="I94" s="440"/>
      <c r="J94" s="414"/>
      <c r="K94" s="414"/>
      <c r="L94" s="414"/>
      <c r="M94" s="414"/>
      <c r="N94" s="414"/>
      <c r="O94" s="414"/>
    </row>
    <row r="95" spans="7:15" x14ac:dyDescent="0.25">
      <c r="G95" s="392">
        <v>43</v>
      </c>
      <c r="H95" s="440"/>
      <c r="I95" s="440"/>
      <c r="J95" s="414"/>
      <c r="K95" s="414"/>
      <c r="L95" s="414"/>
      <c r="M95" s="414"/>
      <c r="N95" s="414"/>
      <c r="O95" s="414"/>
    </row>
    <row r="96" spans="7:15" x14ac:dyDescent="0.25">
      <c r="G96" s="392">
        <v>44</v>
      </c>
      <c r="H96" s="440"/>
      <c r="I96" s="440"/>
      <c r="J96" s="414"/>
      <c r="K96" s="414"/>
      <c r="L96" s="414"/>
      <c r="M96" s="414"/>
      <c r="N96" s="414"/>
      <c r="O96" s="414"/>
    </row>
    <row r="97" spans="4:15" x14ac:dyDescent="0.25">
      <c r="D97" s="36"/>
      <c r="E97" s="36"/>
      <c r="F97" s="36"/>
      <c r="G97" s="392">
        <v>45</v>
      </c>
      <c r="H97" s="440"/>
      <c r="I97" s="440"/>
      <c r="J97" s="414"/>
      <c r="K97" s="414"/>
      <c r="L97" s="414"/>
      <c r="M97" s="414"/>
      <c r="N97" s="414"/>
      <c r="O97" s="414"/>
    </row>
    <row r="98" spans="4:15" x14ac:dyDescent="0.25">
      <c r="D98" s="36"/>
      <c r="E98" s="36"/>
      <c r="F98" s="36"/>
      <c r="G98" s="392">
        <v>46</v>
      </c>
      <c r="H98" s="440"/>
      <c r="I98" s="440"/>
      <c r="J98" s="414"/>
      <c r="K98" s="414"/>
      <c r="L98" s="414"/>
      <c r="M98" s="414"/>
      <c r="N98" s="414"/>
      <c r="O98" s="414"/>
    </row>
    <row r="99" spans="4:15" x14ac:dyDescent="0.25">
      <c r="D99" s="36"/>
      <c r="E99" s="36"/>
      <c r="F99" s="36"/>
      <c r="G99" s="392">
        <v>47</v>
      </c>
      <c r="H99" s="440"/>
      <c r="I99" s="440"/>
      <c r="J99" s="414"/>
      <c r="K99" s="414"/>
      <c r="L99" s="414"/>
      <c r="M99" s="414"/>
      <c r="N99" s="414"/>
      <c r="O99" s="414"/>
    </row>
    <row r="100" spans="4:15" x14ac:dyDescent="0.25">
      <c r="D100" s="36"/>
      <c r="E100" s="36"/>
      <c r="F100" s="36"/>
      <c r="G100" s="392">
        <v>48</v>
      </c>
      <c r="H100" s="440"/>
      <c r="I100" s="440"/>
      <c r="J100" s="414"/>
      <c r="K100" s="414"/>
      <c r="L100" s="414"/>
      <c r="M100" s="414"/>
      <c r="N100" s="414"/>
      <c r="O100" s="414"/>
    </row>
    <row r="101" spans="4:15" x14ac:dyDescent="0.25">
      <c r="D101" s="36"/>
      <c r="E101" s="36"/>
      <c r="F101" s="36"/>
      <c r="G101" s="392">
        <v>49</v>
      </c>
      <c r="H101" s="440"/>
      <c r="I101" s="440"/>
      <c r="J101" s="414"/>
      <c r="K101" s="414"/>
      <c r="L101" s="414"/>
      <c r="M101" s="414"/>
      <c r="N101" s="414"/>
      <c r="O101" s="414"/>
    </row>
    <row r="102" spans="4:15" x14ac:dyDescent="0.25">
      <c r="D102" s="36"/>
      <c r="E102" s="36"/>
      <c r="F102" s="36"/>
      <c r="G102" s="392">
        <v>50</v>
      </c>
      <c r="H102" s="440"/>
      <c r="I102" s="440"/>
      <c r="J102" s="414"/>
      <c r="K102" s="414"/>
      <c r="L102" s="414"/>
      <c r="M102" s="414"/>
      <c r="N102" s="414"/>
      <c r="O102" s="414"/>
    </row>
    <row r="103" spans="4:15" x14ac:dyDescent="0.25">
      <c r="D103" s="36"/>
      <c r="E103" s="36"/>
      <c r="F103" s="36"/>
      <c r="G103" s="392">
        <v>51</v>
      </c>
      <c r="H103" s="440"/>
      <c r="I103" s="440"/>
      <c r="J103" s="414"/>
      <c r="K103" s="414"/>
      <c r="L103" s="414"/>
      <c r="M103" s="414"/>
      <c r="N103" s="414"/>
      <c r="O103" s="414"/>
    </row>
    <row r="104" spans="4:15" x14ac:dyDescent="0.25">
      <c r="D104" s="36"/>
      <c r="E104" s="36"/>
      <c r="F104" s="36"/>
      <c r="G104" s="392">
        <v>52</v>
      </c>
      <c r="H104" s="440"/>
      <c r="I104" s="440"/>
      <c r="J104" s="414"/>
      <c r="K104" s="414"/>
      <c r="L104" s="414"/>
      <c r="M104" s="414"/>
      <c r="N104" s="414"/>
      <c r="O104" s="414"/>
    </row>
    <row r="105" spans="4:15" x14ac:dyDescent="0.25">
      <c r="D105" s="36"/>
      <c r="E105" s="36"/>
      <c r="F105" s="36"/>
      <c r="G105" s="392">
        <v>53</v>
      </c>
      <c r="H105" s="440"/>
      <c r="I105" s="440"/>
      <c r="J105" s="414"/>
      <c r="K105" s="414"/>
      <c r="L105" s="414"/>
      <c r="M105" s="414"/>
      <c r="N105" s="414"/>
      <c r="O105" s="414"/>
    </row>
    <row r="106" spans="4:15" x14ac:dyDescent="0.25">
      <c r="D106" s="36"/>
      <c r="E106" s="36"/>
      <c r="F106" s="36"/>
      <c r="G106" s="392">
        <v>54</v>
      </c>
      <c r="H106" s="440"/>
      <c r="I106" s="440"/>
      <c r="J106" s="414"/>
      <c r="K106" s="414"/>
      <c r="L106" s="414"/>
      <c r="M106" s="414"/>
      <c r="N106" s="414"/>
      <c r="O106" s="414"/>
    </row>
    <row r="107" spans="4:15" x14ac:dyDescent="0.25">
      <c r="D107" s="36"/>
      <c r="E107" s="36"/>
      <c r="F107" s="36"/>
      <c r="G107" s="392">
        <v>55</v>
      </c>
      <c r="H107" s="440"/>
      <c r="I107" s="440"/>
      <c r="J107" s="414"/>
      <c r="K107" s="414"/>
      <c r="L107" s="414"/>
      <c r="M107" s="414"/>
      <c r="N107" s="414"/>
      <c r="O107" s="414"/>
    </row>
    <row r="108" spans="4:15" x14ac:dyDescent="0.25">
      <c r="D108" s="36"/>
      <c r="E108" s="36"/>
      <c r="F108" s="36"/>
      <c r="G108" s="392">
        <v>56</v>
      </c>
      <c r="H108" s="440"/>
      <c r="I108" s="440"/>
      <c r="J108" s="414"/>
      <c r="K108" s="414"/>
      <c r="L108" s="414"/>
      <c r="M108" s="414"/>
      <c r="N108" s="414"/>
      <c r="O108" s="414"/>
    </row>
    <row r="109" spans="4:15" x14ac:dyDescent="0.25">
      <c r="D109" s="36"/>
      <c r="E109" s="36"/>
      <c r="F109" s="36"/>
      <c r="G109" s="392">
        <v>57</v>
      </c>
      <c r="H109" s="440"/>
      <c r="I109" s="440"/>
      <c r="J109" s="414"/>
      <c r="K109" s="414"/>
      <c r="L109" s="414"/>
      <c r="M109" s="414"/>
      <c r="N109" s="414"/>
      <c r="O109" s="414"/>
    </row>
    <row r="110" spans="4:15" x14ac:dyDescent="0.25">
      <c r="D110" s="36"/>
      <c r="E110" s="36"/>
      <c r="F110" s="36"/>
      <c r="G110" s="392">
        <v>58</v>
      </c>
      <c r="H110" s="440"/>
      <c r="I110" s="440"/>
      <c r="J110" s="414"/>
      <c r="K110" s="414"/>
      <c r="L110" s="414"/>
      <c r="M110" s="414"/>
      <c r="N110" s="414"/>
      <c r="O110" s="414"/>
    </row>
    <row r="111" spans="4:15" x14ac:dyDescent="0.25">
      <c r="D111" s="36"/>
      <c r="E111" s="36"/>
      <c r="F111" s="36"/>
      <c r="G111" s="392">
        <v>59</v>
      </c>
      <c r="H111" s="440"/>
      <c r="I111" s="440"/>
      <c r="J111" s="414"/>
      <c r="K111" s="414"/>
      <c r="L111" s="414"/>
      <c r="M111" s="414"/>
      <c r="N111" s="414"/>
      <c r="O111" s="414"/>
    </row>
    <row r="112" spans="4:15" x14ac:dyDescent="0.25">
      <c r="D112" s="36"/>
      <c r="E112" s="36"/>
      <c r="F112" s="36"/>
      <c r="G112" s="392">
        <v>60</v>
      </c>
      <c r="H112" s="440"/>
      <c r="I112" s="440"/>
      <c r="J112" s="414"/>
      <c r="K112" s="414"/>
      <c r="L112" s="414"/>
      <c r="M112" s="414"/>
      <c r="N112" s="414"/>
      <c r="O112" s="414"/>
    </row>
    <row r="113" spans="7:15" x14ac:dyDescent="0.25">
      <c r="G113" s="392">
        <v>61</v>
      </c>
      <c r="H113" s="440"/>
      <c r="I113" s="440"/>
      <c r="J113" s="414"/>
      <c r="K113" s="414"/>
      <c r="L113" s="414"/>
      <c r="M113" s="414"/>
      <c r="N113" s="414"/>
      <c r="O113" s="414"/>
    </row>
    <row r="114" spans="7:15" x14ac:dyDescent="0.25">
      <c r="G114" s="392">
        <v>62</v>
      </c>
      <c r="H114" s="440"/>
      <c r="I114" s="440"/>
      <c r="J114" s="414"/>
      <c r="K114" s="414"/>
      <c r="L114" s="414"/>
      <c r="M114" s="414"/>
      <c r="N114" s="414"/>
      <c r="O114" s="414"/>
    </row>
    <row r="115" spans="7:15" x14ac:dyDescent="0.25">
      <c r="G115" s="392">
        <v>63</v>
      </c>
      <c r="H115" s="440"/>
      <c r="I115" s="440"/>
      <c r="J115" s="414"/>
      <c r="K115" s="414"/>
      <c r="L115" s="414"/>
      <c r="M115" s="414"/>
      <c r="N115" s="414"/>
      <c r="O115" s="414"/>
    </row>
    <row r="116" spans="7:15" x14ac:dyDescent="0.25">
      <c r="G116" s="392">
        <v>64</v>
      </c>
      <c r="H116" s="440"/>
      <c r="I116" s="440"/>
      <c r="J116" s="414"/>
      <c r="K116" s="414"/>
      <c r="L116" s="414"/>
      <c r="M116" s="414"/>
      <c r="N116" s="414"/>
      <c r="O116" s="414"/>
    </row>
    <row r="117" spans="7:15" x14ac:dyDescent="0.25">
      <c r="G117" s="392">
        <v>65</v>
      </c>
      <c r="H117" s="440"/>
      <c r="I117" s="440"/>
      <c r="J117" s="414"/>
      <c r="K117" s="414"/>
      <c r="L117" s="414"/>
      <c r="M117" s="414"/>
      <c r="N117" s="414"/>
      <c r="O117" s="414"/>
    </row>
    <row r="118" spans="7:15" x14ac:dyDescent="0.25">
      <c r="G118" s="392">
        <v>66</v>
      </c>
      <c r="H118" s="440"/>
      <c r="I118" s="440"/>
      <c r="J118" s="414"/>
      <c r="K118" s="414"/>
      <c r="L118" s="414"/>
      <c r="M118" s="414"/>
      <c r="N118" s="414"/>
      <c r="O118" s="414"/>
    </row>
    <row r="119" spans="7:15" x14ac:dyDescent="0.25">
      <c r="G119" s="392">
        <v>67</v>
      </c>
      <c r="H119" s="440"/>
      <c r="I119" s="440"/>
      <c r="J119" s="414"/>
      <c r="K119" s="414"/>
      <c r="L119" s="414"/>
      <c r="M119" s="414"/>
      <c r="N119" s="414"/>
      <c r="O119" s="414"/>
    </row>
    <row r="120" spans="7:15" x14ac:dyDescent="0.25">
      <c r="G120" s="392">
        <v>68</v>
      </c>
      <c r="H120" s="440"/>
      <c r="I120" s="440"/>
      <c r="J120" s="414"/>
      <c r="K120" s="414"/>
      <c r="L120" s="414"/>
      <c r="M120" s="414"/>
      <c r="N120" s="414"/>
      <c r="O120" s="414"/>
    </row>
    <row r="121" spans="7:15" x14ac:dyDescent="0.25">
      <c r="G121" s="392">
        <v>69</v>
      </c>
      <c r="H121" s="440"/>
      <c r="I121" s="440"/>
      <c r="J121" s="414"/>
      <c r="K121" s="414"/>
      <c r="L121" s="414"/>
      <c r="M121" s="414"/>
      <c r="N121" s="414"/>
      <c r="O121" s="414"/>
    </row>
    <row r="122" spans="7:15" x14ac:dyDescent="0.25">
      <c r="G122" s="392">
        <v>70</v>
      </c>
      <c r="H122" s="440"/>
      <c r="I122" s="440"/>
      <c r="J122" s="414"/>
      <c r="K122" s="414"/>
      <c r="L122" s="414"/>
      <c r="M122" s="414"/>
      <c r="N122" s="414"/>
      <c r="O122" s="414"/>
    </row>
    <row r="123" spans="7:15" x14ac:dyDescent="0.25">
      <c r="G123" s="392">
        <v>71</v>
      </c>
      <c r="H123" s="440"/>
      <c r="I123" s="440"/>
      <c r="J123" s="414"/>
      <c r="K123" s="414"/>
      <c r="L123" s="414"/>
      <c r="M123" s="414"/>
      <c r="N123" s="414"/>
      <c r="O123" s="414"/>
    </row>
    <row r="124" spans="7:15" x14ac:dyDescent="0.25">
      <c r="G124" s="392">
        <v>72</v>
      </c>
      <c r="H124" s="440"/>
      <c r="I124" s="440"/>
      <c r="J124" s="414"/>
      <c r="K124" s="414"/>
      <c r="L124" s="414"/>
      <c r="M124" s="414"/>
      <c r="N124" s="414"/>
      <c r="O124" s="414"/>
    </row>
    <row r="125" spans="7:15" x14ac:dyDescent="0.25">
      <c r="G125" s="392">
        <v>73</v>
      </c>
      <c r="H125" s="440"/>
      <c r="I125" s="440"/>
      <c r="J125" s="414"/>
      <c r="K125" s="414"/>
      <c r="L125" s="414"/>
      <c r="M125" s="414"/>
      <c r="N125" s="414"/>
      <c r="O125" s="414"/>
    </row>
    <row r="126" spans="7:15" x14ac:dyDescent="0.25">
      <c r="G126" s="392">
        <v>74</v>
      </c>
      <c r="H126" s="440"/>
      <c r="I126" s="440"/>
      <c r="J126" s="414"/>
      <c r="K126" s="414"/>
      <c r="L126" s="414"/>
      <c r="M126" s="414"/>
      <c r="N126" s="414"/>
      <c r="O126" s="414"/>
    </row>
    <row r="127" spans="7:15" x14ac:dyDescent="0.25">
      <c r="G127" s="392">
        <v>75</v>
      </c>
      <c r="H127" s="440"/>
      <c r="I127" s="440"/>
      <c r="J127" s="414"/>
      <c r="K127" s="414"/>
      <c r="L127" s="414"/>
      <c r="M127" s="414"/>
      <c r="N127" s="414"/>
      <c r="O127" s="414"/>
    </row>
    <row r="128" spans="7:15" x14ac:dyDescent="0.25">
      <c r="G128" s="392">
        <v>76</v>
      </c>
      <c r="H128" s="440"/>
      <c r="I128" s="440"/>
      <c r="J128" s="414"/>
      <c r="K128" s="414"/>
      <c r="L128" s="414"/>
      <c r="M128" s="414"/>
      <c r="N128" s="414"/>
      <c r="O128" s="414"/>
    </row>
    <row r="129" spans="7:15" x14ac:dyDescent="0.25">
      <c r="G129" s="392">
        <v>77</v>
      </c>
      <c r="H129" s="440"/>
      <c r="I129" s="440"/>
      <c r="J129" s="414"/>
      <c r="K129" s="414"/>
      <c r="L129" s="414"/>
      <c r="M129" s="414"/>
      <c r="N129" s="414"/>
      <c r="O129" s="414"/>
    </row>
    <row r="130" spans="7:15" x14ac:dyDescent="0.25">
      <c r="G130" s="392">
        <v>78</v>
      </c>
      <c r="H130" s="440"/>
      <c r="I130" s="440"/>
      <c r="J130" s="414"/>
      <c r="K130" s="414"/>
      <c r="L130" s="414"/>
      <c r="M130" s="414"/>
      <c r="N130" s="414"/>
      <c r="O130" s="414"/>
    </row>
    <row r="131" spans="7:15" x14ac:dyDescent="0.25">
      <c r="G131" s="392">
        <v>79</v>
      </c>
      <c r="H131" s="440"/>
      <c r="I131" s="440"/>
      <c r="J131" s="414"/>
      <c r="K131" s="414"/>
      <c r="L131" s="414"/>
      <c r="M131" s="414"/>
      <c r="N131" s="414"/>
      <c r="O131" s="414"/>
    </row>
    <row r="132" spans="7:15" x14ac:dyDescent="0.25">
      <c r="G132" s="392">
        <v>80</v>
      </c>
      <c r="H132" s="440"/>
      <c r="I132" s="440"/>
      <c r="J132" s="414"/>
      <c r="K132" s="414"/>
      <c r="L132" s="414"/>
      <c r="M132" s="414"/>
      <c r="N132" s="414"/>
      <c r="O132" s="414"/>
    </row>
    <row r="133" spans="7:15" x14ac:dyDescent="0.25">
      <c r="G133" s="392">
        <v>81</v>
      </c>
      <c r="H133" s="440"/>
      <c r="I133" s="440"/>
      <c r="J133" s="414"/>
      <c r="K133" s="414"/>
      <c r="L133" s="414"/>
      <c r="M133" s="414"/>
      <c r="N133" s="414"/>
      <c r="O133" s="414"/>
    </row>
    <row r="134" spans="7:15" x14ac:dyDescent="0.25">
      <c r="G134" s="392">
        <v>82</v>
      </c>
      <c r="H134" s="440"/>
      <c r="I134" s="440"/>
      <c r="J134" s="414"/>
      <c r="K134" s="414"/>
      <c r="L134" s="414"/>
      <c r="M134" s="414"/>
      <c r="N134" s="414"/>
      <c r="O134" s="414"/>
    </row>
    <row r="135" spans="7:15" x14ac:dyDescent="0.25">
      <c r="G135" s="392">
        <v>83</v>
      </c>
      <c r="H135" s="440"/>
      <c r="I135" s="440"/>
      <c r="J135" s="414"/>
      <c r="K135" s="414"/>
      <c r="L135" s="414"/>
      <c r="M135" s="414"/>
      <c r="N135" s="414"/>
      <c r="O135" s="414"/>
    </row>
    <row r="136" spans="7:15" x14ac:dyDescent="0.25">
      <c r="G136" s="392">
        <v>84</v>
      </c>
      <c r="H136" s="440"/>
      <c r="I136" s="440"/>
      <c r="J136" s="414"/>
      <c r="K136" s="414"/>
      <c r="L136" s="414"/>
      <c r="M136" s="414"/>
      <c r="N136" s="414"/>
      <c r="O136" s="414"/>
    </row>
    <row r="137" spans="7:15" x14ac:dyDescent="0.25">
      <c r="G137" s="392">
        <v>85</v>
      </c>
      <c r="H137" s="440"/>
      <c r="I137" s="440"/>
      <c r="J137" s="414"/>
      <c r="K137" s="414"/>
      <c r="L137" s="414"/>
      <c r="M137" s="414"/>
      <c r="N137" s="414"/>
      <c r="O137" s="414"/>
    </row>
    <row r="138" spans="7:15" x14ac:dyDescent="0.25">
      <c r="G138" s="392">
        <v>86</v>
      </c>
      <c r="H138" s="440"/>
      <c r="I138" s="440"/>
      <c r="J138" s="414"/>
      <c r="K138" s="414"/>
      <c r="L138" s="414"/>
      <c r="M138" s="414"/>
      <c r="N138" s="414"/>
      <c r="O138" s="414"/>
    </row>
    <row r="139" spans="7:15" x14ac:dyDescent="0.25">
      <c r="G139" s="392">
        <v>87</v>
      </c>
      <c r="H139" s="440"/>
      <c r="I139" s="440"/>
      <c r="J139" s="414"/>
      <c r="K139" s="414"/>
      <c r="L139" s="414"/>
      <c r="M139" s="414"/>
      <c r="N139" s="414"/>
      <c r="O139" s="414"/>
    </row>
    <row r="140" spans="7:15" x14ac:dyDescent="0.25">
      <c r="G140" s="392">
        <v>88</v>
      </c>
      <c r="H140" s="440"/>
      <c r="I140" s="440"/>
      <c r="J140" s="414"/>
      <c r="K140" s="414"/>
      <c r="L140" s="414"/>
      <c r="M140" s="414"/>
      <c r="N140" s="414"/>
      <c r="O140" s="414"/>
    </row>
    <row r="141" spans="7:15" x14ac:dyDescent="0.25">
      <c r="G141" s="392">
        <v>89</v>
      </c>
      <c r="H141" s="440"/>
      <c r="I141" s="440"/>
      <c r="J141" s="414"/>
      <c r="K141" s="414"/>
      <c r="L141" s="414"/>
      <c r="M141" s="414"/>
      <c r="N141" s="414"/>
      <c r="O141" s="414"/>
    </row>
    <row r="142" spans="7:15" x14ac:dyDescent="0.25">
      <c r="G142" s="392">
        <v>90</v>
      </c>
      <c r="H142" s="440"/>
      <c r="I142" s="440"/>
      <c r="J142" s="414"/>
      <c r="K142" s="414"/>
      <c r="L142" s="414"/>
      <c r="M142" s="414"/>
      <c r="N142" s="414"/>
      <c r="O142" s="414"/>
    </row>
    <row r="143" spans="7:15" x14ac:dyDescent="0.25">
      <c r="G143" s="392">
        <v>91</v>
      </c>
      <c r="H143" s="440"/>
      <c r="I143" s="440"/>
      <c r="J143" s="414"/>
      <c r="K143" s="414"/>
      <c r="L143" s="414"/>
      <c r="M143" s="414"/>
      <c r="N143" s="414"/>
      <c r="O143" s="414"/>
    </row>
    <row r="144" spans="7:15" x14ac:dyDescent="0.25">
      <c r="G144" s="392">
        <v>92</v>
      </c>
      <c r="H144" s="440"/>
      <c r="I144" s="440"/>
      <c r="J144" s="414"/>
      <c r="K144" s="414"/>
      <c r="L144" s="414"/>
      <c r="M144" s="414"/>
      <c r="N144" s="414"/>
      <c r="O144" s="414"/>
    </row>
    <row r="145" spans="7:15" x14ac:dyDescent="0.25">
      <c r="G145" s="392">
        <v>93</v>
      </c>
      <c r="H145" s="440"/>
      <c r="I145" s="440"/>
      <c r="J145" s="414"/>
      <c r="K145" s="414"/>
      <c r="L145" s="414"/>
      <c r="M145" s="414"/>
      <c r="N145" s="414"/>
      <c r="O145" s="414"/>
    </row>
    <row r="146" spans="7:15" x14ac:dyDescent="0.25">
      <c r="G146" s="392">
        <v>94</v>
      </c>
      <c r="H146" s="440"/>
      <c r="I146" s="440"/>
      <c r="J146" s="414"/>
      <c r="K146" s="414"/>
      <c r="L146" s="414"/>
      <c r="M146" s="414"/>
      <c r="N146" s="414"/>
      <c r="O146" s="414"/>
    </row>
    <row r="147" spans="7:15" x14ac:dyDescent="0.25">
      <c r="G147" s="392">
        <v>95</v>
      </c>
      <c r="H147" s="440"/>
      <c r="I147" s="440"/>
      <c r="J147" s="414"/>
      <c r="K147" s="414"/>
      <c r="L147" s="414"/>
      <c r="M147" s="414"/>
      <c r="N147" s="414"/>
      <c r="O147" s="414"/>
    </row>
    <row r="148" spans="7:15" x14ac:dyDescent="0.25">
      <c r="G148" s="392">
        <v>96</v>
      </c>
      <c r="H148" s="440"/>
      <c r="I148" s="440"/>
      <c r="J148" s="414"/>
      <c r="K148" s="414"/>
      <c r="L148" s="414"/>
      <c r="M148" s="414"/>
      <c r="N148" s="414"/>
      <c r="O148" s="414"/>
    </row>
    <row r="149" spans="7:15" x14ac:dyDescent="0.25">
      <c r="G149" s="392">
        <v>97</v>
      </c>
      <c r="H149" s="440"/>
      <c r="I149" s="440"/>
      <c r="J149" s="414"/>
      <c r="K149" s="414"/>
      <c r="L149" s="414"/>
      <c r="M149" s="414"/>
      <c r="N149" s="414"/>
      <c r="O149" s="414"/>
    </row>
    <row r="150" spans="7:15" x14ac:dyDescent="0.25">
      <c r="G150" s="392">
        <v>98</v>
      </c>
      <c r="H150" s="440"/>
      <c r="I150" s="440"/>
      <c r="J150" s="414"/>
      <c r="K150" s="414"/>
      <c r="L150" s="414"/>
      <c r="M150" s="414"/>
      <c r="N150" s="414"/>
      <c r="O150" s="414"/>
    </row>
    <row r="151" spans="7:15" x14ac:dyDescent="0.25">
      <c r="G151" s="392">
        <v>99</v>
      </c>
      <c r="H151" s="440"/>
      <c r="I151" s="440"/>
      <c r="J151" s="414"/>
      <c r="K151" s="414"/>
      <c r="L151" s="414"/>
      <c r="M151" s="414"/>
      <c r="N151" s="414"/>
      <c r="O151" s="414"/>
    </row>
    <row r="152" spans="7:15" x14ac:dyDescent="0.25">
      <c r="G152" s="392">
        <v>100</v>
      </c>
      <c r="H152" s="440"/>
      <c r="I152" s="440"/>
      <c r="J152" s="414"/>
      <c r="K152" s="414"/>
      <c r="L152" s="414"/>
      <c r="M152" s="414"/>
      <c r="N152" s="414"/>
      <c r="O152" s="414"/>
    </row>
    <row r="153" spans="7:15" x14ac:dyDescent="0.25">
      <c r="G153" s="392">
        <v>101</v>
      </c>
      <c r="H153" s="440"/>
      <c r="I153" s="440"/>
      <c r="J153" s="414"/>
      <c r="K153" s="414"/>
      <c r="L153" s="414"/>
      <c r="M153" s="414"/>
      <c r="N153" s="414"/>
      <c r="O153" s="414"/>
    </row>
    <row r="154" spans="7:15" x14ac:dyDescent="0.25">
      <c r="G154" s="392">
        <v>102</v>
      </c>
      <c r="H154" s="440"/>
      <c r="I154" s="440"/>
      <c r="J154" s="414"/>
      <c r="K154" s="414"/>
      <c r="L154" s="414"/>
      <c r="M154" s="414"/>
      <c r="N154" s="414"/>
      <c r="O154" s="414"/>
    </row>
    <row r="155" spans="7:15" x14ac:dyDescent="0.25">
      <c r="G155" s="392">
        <v>103</v>
      </c>
      <c r="H155" s="440"/>
      <c r="I155" s="440"/>
      <c r="J155" s="414"/>
      <c r="K155" s="414"/>
      <c r="L155" s="414"/>
      <c r="M155" s="414"/>
      <c r="N155" s="414"/>
      <c r="O155" s="414"/>
    </row>
    <row r="156" spans="7:15" x14ac:dyDescent="0.25">
      <c r="G156" s="392">
        <v>104</v>
      </c>
      <c r="H156" s="440"/>
      <c r="I156" s="440"/>
      <c r="J156" s="414"/>
      <c r="K156" s="414"/>
      <c r="L156" s="414"/>
      <c r="M156" s="414"/>
      <c r="N156" s="414"/>
      <c r="O156" s="414"/>
    </row>
    <row r="157" spans="7:15" x14ac:dyDescent="0.25">
      <c r="G157" s="392">
        <v>105</v>
      </c>
      <c r="H157" s="440"/>
      <c r="I157" s="440"/>
      <c r="J157" s="414"/>
      <c r="K157" s="414"/>
      <c r="L157" s="414"/>
      <c r="M157" s="414"/>
      <c r="N157" s="414"/>
      <c r="O157" s="414"/>
    </row>
    <row r="158" spans="7:15" x14ac:dyDescent="0.25">
      <c r="G158" s="392">
        <v>106</v>
      </c>
      <c r="H158" s="440"/>
      <c r="I158" s="440"/>
      <c r="J158" s="414"/>
      <c r="K158" s="414"/>
      <c r="L158" s="414"/>
      <c r="M158" s="414"/>
      <c r="N158" s="414"/>
      <c r="O158" s="414"/>
    </row>
    <row r="159" spans="7:15" x14ac:dyDescent="0.25">
      <c r="G159" s="392">
        <v>107</v>
      </c>
      <c r="H159" s="440"/>
      <c r="I159" s="440"/>
      <c r="J159" s="414"/>
      <c r="K159" s="414"/>
      <c r="L159" s="414"/>
      <c r="M159" s="414"/>
      <c r="N159" s="414"/>
      <c r="O159" s="414"/>
    </row>
    <row r="160" spans="7:15" x14ac:dyDescent="0.25">
      <c r="G160" s="392">
        <v>108</v>
      </c>
      <c r="H160" s="440"/>
      <c r="I160" s="440"/>
      <c r="J160" s="414"/>
      <c r="K160" s="414"/>
      <c r="L160" s="414"/>
      <c r="M160" s="414"/>
      <c r="N160" s="414"/>
      <c r="O160" s="414"/>
    </row>
    <row r="161" spans="7:15" x14ac:dyDescent="0.25">
      <c r="G161" s="392">
        <v>109</v>
      </c>
      <c r="H161" s="440"/>
      <c r="I161" s="440"/>
      <c r="J161" s="414"/>
      <c r="K161" s="414"/>
      <c r="L161" s="414"/>
      <c r="M161" s="414"/>
      <c r="N161" s="414"/>
      <c r="O161" s="414"/>
    </row>
    <row r="162" spans="7:15" x14ac:dyDescent="0.25">
      <c r="G162" s="392">
        <v>110</v>
      </c>
      <c r="H162" s="440"/>
      <c r="I162" s="440"/>
      <c r="J162" s="414"/>
      <c r="K162" s="414"/>
      <c r="L162" s="414"/>
      <c r="M162" s="414"/>
      <c r="N162" s="414"/>
      <c r="O162" s="414"/>
    </row>
    <row r="163" spans="7:15" x14ac:dyDescent="0.25">
      <c r="G163" s="392">
        <v>111</v>
      </c>
      <c r="H163" s="440"/>
      <c r="I163" s="440"/>
      <c r="J163" s="414"/>
      <c r="K163" s="414"/>
      <c r="L163" s="414"/>
      <c r="M163" s="414"/>
      <c r="N163" s="414"/>
      <c r="O163" s="414"/>
    </row>
    <row r="164" spans="7:15" x14ac:dyDescent="0.25">
      <c r="G164" s="392">
        <v>112</v>
      </c>
      <c r="H164" s="440"/>
      <c r="I164" s="440"/>
      <c r="J164" s="414"/>
      <c r="K164" s="414"/>
      <c r="L164" s="414"/>
      <c r="M164" s="414"/>
      <c r="N164" s="414"/>
      <c r="O164" s="414"/>
    </row>
    <row r="165" spans="7:15" x14ac:dyDescent="0.25">
      <c r="G165" s="392">
        <v>113</v>
      </c>
      <c r="H165" s="440"/>
      <c r="I165" s="440"/>
      <c r="J165" s="414"/>
      <c r="K165" s="414"/>
      <c r="L165" s="414"/>
      <c r="M165" s="414"/>
      <c r="N165" s="414"/>
      <c r="O165" s="414"/>
    </row>
    <row r="166" spans="7:15" x14ac:dyDescent="0.25">
      <c r="G166" s="392">
        <v>114</v>
      </c>
      <c r="H166" s="440"/>
      <c r="I166" s="440"/>
      <c r="J166" s="414"/>
      <c r="K166" s="414"/>
      <c r="L166" s="414"/>
      <c r="M166" s="414"/>
      <c r="N166" s="414"/>
      <c r="O166" s="414"/>
    </row>
    <row r="167" spans="7:15" x14ac:dyDescent="0.25">
      <c r="G167" s="392">
        <v>115</v>
      </c>
      <c r="H167" s="440"/>
      <c r="I167" s="440"/>
      <c r="J167" s="414"/>
      <c r="K167" s="414"/>
      <c r="L167" s="414"/>
      <c r="M167" s="414"/>
      <c r="N167" s="414"/>
      <c r="O167" s="414"/>
    </row>
    <row r="168" spans="7:15" x14ac:dyDescent="0.25">
      <c r="G168" s="392">
        <v>116</v>
      </c>
      <c r="H168" s="440"/>
      <c r="I168" s="440"/>
      <c r="J168" s="414"/>
      <c r="K168" s="414"/>
      <c r="L168" s="414"/>
      <c r="M168" s="414"/>
      <c r="N168" s="414"/>
      <c r="O168" s="414"/>
    </row>
    <row r="169" spans="7:15" x14ac:dyDescent="0.25">
      <c r="G169" s="392">
        <v>117</v>
      </c>
      <c r="H169" s="440"/>
      <c r="I169" s="440"/>
      <c r="J169" s="414"/>
      <c r="K169" s="414"/>
      <c r="L169" s="414"/>
      <c r="M169" s="414"/>
      <c r="N169" s="414"/>
      <c r="O169" s="414"/>
    </row>
    <row r="170" spans="7:15" x14ac:dyDescent="0.25">
      <c r="G170" s="392">
        <v>118</v>
      </c>
      <c r="H170" s="440"/>
      <c r="I170" s="440"/>
      <c r="J170" s="414"/>
      <c r="K170" s="414"/>
      <c r="L170" s="414"/>
      <c r="M170" s="414"/>
      <c r="N170" s="414"/>
      <c r="O170" s="414"/>
    </row>
    <row r="171" spans="7:15" x14ac:dyDescent="0.25">
      <c r="G171" s="392">
        <v>119</v>
      </c>
      <c r="H171" s="440"/>
      <c r="I171" s="440"/>
      <c r="J171" s="414"/>
      <c r="K171" s="414"/>
      <c r="L171" s="414"/>
      <c r="M171" s="414"/>
      <c r="N171" s="414"/>
      <c r="O171" s="414"/>
    </row>
    <row r="172" spans="7:15" x14ac:dyDescent="0.25">
      <c r="G172" s="392">
        <v>120</v>
      </c>
      <c r="H172" s="440"/>
      <c r="I172" s="440"/>
      <c r="J172" s="414"/>
      <c r="K172" s="414"/>
      <c r="L172" s="414"/>
      <c r="M172" s="414"/>
      <c r="N172" s="414"/>
      <c r="O172" s="414"/>
    </row>
    <row r="173" spans="7:15" x14ac:dyDescent="0.25">
      <c r="G173" s="392">
        <v>121</v>
      </c>
      <c r="H173" s="440"/>
      <c r="I173" s="440"/>
      <c r="J173" s="414"/>
      <c r="K173" s="414"/>
      <c r="L173" s="414"/>
      <c r="M173" s="414"/>
      <c r="N173" s="414"/>
      <c r="O173" s="414"/>
    </row>
    <row r="174" spans="7:15" x14ac:dyDescent="0.25">
      <c r="G174" s="392">
        <v>122</v>
      </c>
      <c r="H174" s="440"/>
      <c r="I174" s="440"/>
      <c r="J174" s="414"/>
      <c r="K174" s="414"/>
      <c r="L174" s="414"/>
      <c r="M174" s="414"/>
      <c r="N174" s="414"/>
      <c r="O174" s="414"/>
    </row>
    <row r="175" spans="7:15" x14ac:dyDescent="0.25">
      <c r="G175" s="392">
        <v>123</v>
      </c>
      <c r="H175" s="440"/>
      <c r="I175" s="440"/>
      <c r="J175" s="414"/>
      <c r="K175" s="414"/>
      <c r="L175" s="414"/>
      <c r="M175" s="414"/>
      <c r="N175" s="414"/>
      <c r="O175" s="414"/>
    </row>
    <row r="176" spans="7:15" x14ac:dyDescent="0.25">
      <c r="G176" s="392">
        <v>124</v>
      </c>
      <c r="H176" s="440"/>
      <c r="I176" s="440"/>
      <c r="J176" s="414"/>
      <c r="K176" s="414"/>
      <c r="L176" s="414"/>
      <c r="M176" s="414"/>
      <c r="N176" s="414"/>
      <c r="O176" s="414"/>
    </row>
    <row r="177" spans="7:15" x14ac:dyDescent="0.25">
      <c r="G177" s="392">
        <v>125</v>
      </c>
      <c r="H177" s="440"/>
      <c r="I177" s="440"/>
      <c r="J177" s="414"/>
      <c r="K177" s="414"/>
      <c r="L177" s="414"/>
      <c r="M177" s="414"/>
      <c r="N177" s="414"/>
      <c r="O177" s="414"/>
    </row>
    <row r="178" spans="7:15" x14ac:dyDescent="0.25">
      <c r="G178" s="392">
        <v>126</v>
      </c>
      <c r="H178" s="440"/>
      <c r="I178" s="440"/>
      <c r="J178" s="414"/>
      <c r="K178" s="414"/>
      <c r="L178" s="414"/>
      <c r="M178" s="414"/>
      <c r="N178" s="414"/>
      <c r="O178" s="414"/>
    </row>
    <row r="179" spans="7:15" x14ac:dyDescent="0.25">
      <c r="G179" s="392">
        <v>127</v>
      </c>
      <c r="H179" s="440"/>
      <c r="I179" s="440"/>
      <c r="J179" s="414"/>
      <c r="K179" s="414"/>
      <c r="L179" s="414"/>
      <c r="M179" s="414"/>
      <c r="N179" s="414"/>
      <c r="O179" s="414"/>
    </row>
    <row r="180" spans="7:15" x14ac:dyDescent="0.25">
      <c r="G180" s="392">
        <v>128</v>
      </c>
      <c r="H180" s="440"/>
      <c r="I180" s="440"/>
      <c r="J180" s="414"/>
      <c r="K180" s="414"/>
      <c r="L180" s="414"/>
      <c r="M180" s="414"/>
      <c r="N180" s="414"/>
      <c r="O180" s="414"/>
    </row>
    <row r="181" spans="7:15" x14ac:dyDescent="0.25">
      <c r="G181" s="392">
        <v>129</v>
      </c>
      <c r="H181" s="440"/>
      <c r="I181" s="440"/>
      <c r="J181" s="414"/>
      <c r="K181" s="414"/>
      <c r="L181" s="414"/>
      <c r="M181" s="414"/>
      <c r="N181" s="414"/>
      <c r="O181" s="414"/>
    </row>
    <row r="182" spans="7:15" x14ac:dyDescent="0.25">
      <c r="G182" s="392">
        <v>130</v>
      </c>
      <c r="H182" s="440"/>
      <c r="I182" s="440"/>
      <c r="J182" s="414"/>
      <c r="K182" s="414"/>
      <c r="L182" s="414"/>
      <c r="M182" s="414"/>
      <c r="N182" s="414"/>
      <c r="O182" s="414"/>
    </row>
    <row r="183" spans="7:15" x14ac:dyDescent="0.25">
      <c r="G183" s="392">
        <v>131</v>
      </c>
      <c r="H183" s="440"/>
      <c r="I183" s="440"/>
      <c r="J183" s="414"/>
      <c r="K183" s="414"/>
      <c r="L183" s="414"/>
      <c r="M183" s="414"/>
      <c r="N183" s="414"/>
      <c r="O183" s="414"/>
    </row>
    <row r="184" spans="7:15" x14ac:dyDescent="0.25">
      <c r="G184" s="392">
        <v>132</v>
      </c>
      <c r="H184" s="440"/>
      <c r="I184" s="440"/>
      <c r="J184" s="414"/>
      <c r="K184" s="414"/>
      <c r="L184" s="414"/>
      <c r="M184" s="414"/>
      <c r="N184" s="414"/>
      <c r="O184" s="414"/>
    </row>
    <row r="185" spans="7:15" x14ac:dyDescent="0.25">
      <c r="G185" s="392">
        <v>133</v>
      </c>
      <c r="H185" s="440"/>
      <c r="I185" s="440"/>
      <c r="J185" s="414"/>
      <c r="K185" s="414"/>
      <c r="L185" s="414"/>
      <c r="M185" s="414"/>
      <c r="N185" s="414"/>
      <c r="O185" s="414"/>
    </row>
    <row r="186" spans="7:15" x14ac:dyDescent="0.25">
      <c r="G186" s="392">
        <v>134</v>
      </c>
      <c r="H186" s="440"/>
      <c r="I186" s="440"/>
      <c r="J186" s="414"/>
      <c r="K186" s="414"/>
      <c r="L186" s="414"/>
      <c r="M186" s="414"/>
      <c r="N186" s="414"/>
      <c r="O186" s="414"/>
    </row>
    <row r="187" spans="7:15" x14ac:dyDescent="0.25">
      <c r="G187" s="392">
        <v>135</v>
      </c>
      <c r="H187" s="440"/>
      <c r="I187" s="440"/>
      <c r="J187" s="414"/>
      <c r="K187" s="414"/>
      <c r="L187" s="414"/>
      <c r="M187" s="414"/>
      <c r="N187" s="414"/>
      <c r="O187" s="414"/>
    </row>
    <row r="188" spans="7:15" x14ac:dyDescent="0.25">
      <c r="G188" s="392">
        <v>136</v>
      </c>
      <c r="H188" s="440"/>
      <c r="I188" s="440"/>
      <c r="J188" s="414"/>
      <c r="K188" s="414"/>
      <c r="L188" s="414"/>
      <c r="M188" s="414"/>
      <c r="N188" s="414"/>
      <c r="O188" s="414"/>
    </row>
    <row r="189" spans="7:15" x14ac:dyDescent="0.25">
      <c r="G189" s="392">
        <v>137</v>
      </c>
      <c r="H189" s="440"/>
      <c r="I189" s="440"/>
      <c r="J189" s="414"/>
      <c r="K189" s="414"/>
      <c r="L189" s="414"/>
      <c r="M189" s="414"/>
      <c r="N189" s="414"/>
      <c r="O189" s="414"/>
    </row>
    <row r="190" spans="7:15" x14ac:dyDescent="0.25">
      <c r="G190" s="392">
        <v>138</v>
      </c>
      <c r="H190" s="440"/>
      <c r="I190" s="440"/>
      <c r="J190" s="414"/>
      <c r="K190" s="414"/>
      <c r="L190" s="414"/>
      <c r="M190" s="414"/>
      <c r="N190" s="414"/>
      <c r="O190" s="414"/>
    </row>
    <row r="191" spans="7:15" x14ac:dyDescent="0.25">
      <c r="G191" s="392">
        <v>139</v>
      </c>
      <c r="H191" s="440"/>
      <c r="I191" s="440"/>
      <c r="J191" s="414"/>
      <c r="K191" s="414"/>
      <c r="L191" s="414"/>
      <c r="M191" s="414"/>
      <c r="N191" s="414"/>
      <c r="O191" s="414"/>
    </row>
    <row r="192" spans="7:15" x14ac:dyDescent="0.25">
      <c r="G192" s="392">
        <v>140</v>
      </c>
      <c r="H192" s="440"/>
      <c r="I192" s="440"/>
      <c r="J192" s="414"/>
      <c r="K192" s="414"/>
      <c r="L192" s="414"/>
      <c r="M192" s="414"/>
      <c r="N192" s="414"/>
      <c r="O192" s="414"/>
    </row>
    <row r="193" spans="7:15" x14ac:dyDescent="0.25">
      <c r="G193" s="392">
        <v>141</v>
      </c>
      <c r="H193" s="440"/>
      <c r="I193" s="440"/>
      <c r="J193" s="414"/>
      <c r="K193" s="414"/>
      <c r="L193" s="414"/>
      <c r="M193" s="414"/>
      <c r="N193" s="414"/>
      <c r="O193" s="414"/>
    </row>
    <row r="194" spans="7:15" x14ac:dyDescent="0.25">
      <c r="G194" s="392">
        <v>142</v>
      </c>
      <c r="H194" s="440"/>
      <c r="I194" s="440"/>
      <c r="J194" s="414"/>
      <c r="K194" s="414"/>
      <c r="L194" s="414"/>
      <c r="M194" s="414"/>
      <c r="N194" s="414"/>
      <c r="O194" s="414"/>
    </row>
    <row r="195" spans="7:15" x14ac:dyDescent="0.25">
      <c r="G195" s="392">
        <v>143</v>
      </c>
      <c r="H195" s="440"/>
      <c r="I195" s="440"/>
      <c r="J195" s="414"/>
      <c r="K195" s="414"/>
      <c r="L195" s="414"/>
      <c r="M195" s="414"/>
      <c r="N195" s="414"/>
      <c r="O195" s="414"/>
    </row>
    <row r="196" spans="7:15" x14ac:dyDescent="0.25">
      <c r="G196" s="392">
        <v>144</v>
      </c>
      <c r="H196" s="440"/>
      <c r="I196" s="440"/>
      <c r="J196" s="414"/>
      <c r="K196" s="414"/>
      <c r="L196" s="414"/>
      <c r="M196" s="414"/>
      <c r="N196" s="414"/>
      <c r="O196" s="414"/>
    </row>
    <row r="197" spans="7:15" x14ac:dyDescent="0.25">
      <c r="G197" s="392">
        <v>145</v>
      </c>
      <c r="H197" s="440"/>
      <c r="I197" s="440"/>
      <c r="J197" s="414"/>
      <c r="K197" s="414"/>
      <c r="L197" s="414"/>
      <c r="M197" s="414"/>
      <c r="N197" s="414"/>
      <c r="O197" s="414"/>
    </row>
    <row r="198" spans="7:15" x14ac:dyDescent="0.25">
      <c r="G198" s="392">
        <v>146</v>
      </c>
      <c r="H198" s="440"/>
      <c r="I198" s="440"/>
      <c r="J198" s="414"/>
      <c r="K198" s="414"/>
      <c r="L198" s="414"/>
      <c r="M198" s="414"/>
      <c r="N198" s="414"/>
      <c r="O198" s="414"/>
    </row>
    <row r="199" spans="7:15" x14ac:dyDescent="0.25">
      <c r="G199" s="392">
        <v>147</v>
      </c>
      <c r="H199" s="440"/>
      <c r="I199" s="440"/>
      <c r="J199" s="414"/>
      <c r="K199" s="414"/>
      <c r="L199" s="414"/>
      <c r="M199" s="414"/>
      <c r="N199" s="414"/>
      <c r="O199" s="414"/>
    </row>
    <row r="200" spans="7:15" x14ac:dyDescent="0.25">
      <c r="G200" s="392">
        <v>148</v>
      </c>
      <c r="H200" s="440"/>
      <c r="I200" s="440"/>
      <c r="J200" s="414"/>
      <c r="K200" s="414"/>
      <c r="L200" s="414"/>
      <c r="M200" s="414"/>
      <c r="N200" s="414"/>
      <c r="O200" s="414"/>
    </row>
    <row r="201" spans="7:15" x14ac:dyDescent="0.25">
      <c r="G201" s="392">
        <v>149</v>
      </c>
      <c r="H201" s="440"/>
      <c r="I201" s="440"/>
      <c r="J201" s="414"/>
      <c r="K201" s="414"/>
      <c r="L201" s="414"/>
      <c r="M201" s="414"/>
      <c r="N201" s="414"/>
      <c r="O201" s="414"/>
    </row>
    <row r="202" spans="7:15" x14ac:dyDescent="0.25">
      <c r="G202" s="392">
        <v>150</v>
      </c>
      <c r="H202" s="440"/>
      <c r="I202" s="440"/>
      <c r="J202" s="414"/>
      <c r="K202" s="414"/>
      <c r="L202" s="414"/>
      <c r="M202" s="414"/>
      <c r="N202" s="414"/>
      <c r="O202" s="414"/>
    </row>
    <row r="203" spans="7:15" x14ac:dyDescent="0.25">
      <c r="G203" s="392">
        <v>151</v>
      </c>
      <c r="H203" s="440"/>
      <c r="I203" s="440"/>
      <c r="J203" s="414"/>
      <c r="K203" s="414"/>
      <c r="L203" s="414"/>
      <c r="M203" s="414"/>
      <c r="N203" s="414"/>
      <c r="O203" s="414"/>
    </row>
    <row r="204" spans="7:15" x14ac:dyDescent="0.25">
      <c r="G204" s="392">
        <v>152</v>
      </c>
      <c r="H204" s="440"/>
      <c r="I204" s="440"/>
      <c r="J204" s="414"/>
      <c r="K204" s="414"/>
      <c r="L204" s="414"/>
      <c r="M204" s="414"/>
      <c r="N204" s="414"/>
      <c r="O204" s="414"/>
    </row>
    <row r="205" spans="7:15" x14ac:dyDescent="0.25">
      <c r="G205" s="392">
        <v>153</v>
      </c>
      <c r="H205" s="440"/>
      <c r="I205" s="440"/>
      <c r="J205" s="414"/>
      <c r="K205" s="414"/>
      <c r="L205" s="414"/>
      <c r="M205" s="414"/>
      <c r="N205" s="414"/>
      <c r="O205" s="414"/>
    </row>
    <row r="206" spans="7:15" x14ac:dyDescent="0.25">
      <c r="G206" s="392">
        <v>154</v>
      </c>
      <c r="H206" s="440"/>
      <c r="I206" s="440"/>
      <c r="J206" s="414"/>
      <c r="K206" s="414"/>
      <c r="L206" s="414"/>
      <c r="M206" s="414"/>
      <c r="N206" s="414"/>
      <c r="O206" s="414"/>
    </row>
    <row r="207" spans="7:15" x14ac:dyDescent="0.25">
      <c r="G207" s="392">
        <v>155</v>
      </c>
      <c r="H207" s="440"/>
      <c r="I207" s="440"/>
      <c r="J207" s="414"/>
      <c r="K207" s="414"/>
      <c r="L207" s="414"/>
      <c r="M207" s="414"/>
      <c r="N207" s="414"/>
      <c r="O207" s="414"/>
    </row>
    <row r="208" spans="7:15" x14ac:dyDescent="0.25">
      <c r="G208" s="392">
        <v>156</v>
      </c>
      <c r="H208" s="440"/>
      <c r="I208" s="440"/>
      <c r="J208" s="414"/>
      <c r="K208" s="414"/>
      <c r="L208" s="414"/>
      <c r="M208" s="414"/>
      <c r="N208" s="414"/>
      <c r="O208" s="414"/>
    </row>
    <row r="209" spans="7:15" x14ac:dyDescent="0.25">
      <c r="G209" s="392">
        <v>157</v>
      </c>
      <c r="H209" s="440"/>
      <c r="I209" s="440"/>
      <c r="J209" s="414"/>
      <c r="K209" s="414"/>
      <c r="L209" s="414"/>
      <c r="M209" s="414"/>
      <c r="N209" s="414"/>
      <c r="O209" s="414"/>
    </row>
    <row r="210" spans="7:15" x14ac:dyDescent="0.25">
      <c r="G210" s="392">
        <v>158</v>
      </c>
      <c r="H210" s="440"/>
      <c r="I210" s="440"/>
      <c r="J210" s="414"/>
      <c r="K210" s="414"/>
      <c r="L210" s="414"/>
      <c r="M210" s="414"/>
      <c r="N210" s="414"/>
      <c r="O210" s="414"/>
    </row>
    <row r="211" spans="7:15" x14ac:dyDescent="0.25">
      <c r="G211" s="392">
        <v>159</v>
      </c>
      <c r="H211" s="440"/>
      <c r="I211" s="440"/>
      <c r="J211" s="414"/>
      <c r="K211" s="414"/>
      <c r="L211" s="414"/>
      <c r="M211" s="414"/>
      <c r="N211" s="414"/>
      <c r="O211" s="414"/>
    </row>
    <row r="212" spans="7:15" x14ac:dyDescent="0.25">
      <c r="G212" s="392">
        <v>160</v>
      </c>
      <c r="H212" s="440"/>
      <c r="I212" s="440"/>
      <c r="J212" s="414"/>
      <c r="K212" s="414"/>
      <c r="L212" s="414"/>
      <c r="M212" s="414"/>
      <c r="N212" s="414"/>
      <c r="O212" s="414"/>
    </row>
    <row r="213" spans="7:15" x14ac:dyDescent="0.25">
      <c r="G213" s="392">
        <v>161</v>
      </c>
      <c r="H213" s="440"/>
      <c r="I213" s="440"/>
      <c r="J213" s="414"/>
      <c r="K213" s="414"/>
      <c r="L213" s="414"/>
      <c r="M213" s="414"/>
      <c r="N213" s="414"/>
      <c r="O213" s="414"/>
    </row>
    <row r="214" spans="7:15" x14ac:dyDescent="0.25">
      <c r="G214" s="392">
        <v>162</v>
      </c>
      <c r="H214" s="440"/>
      <c r="I214" s="440"/>
      <c r="J214" s="414"/>
      <c r="K214" s="414"/>
      <c r="L214" s="414"/>
      <c r="M214" s="414"/>
      <c r="N214" s="414"/>
      <c r="O214" s="414"/>
    </row>
    <row r="215" spans="7:15" x14ac:dyDescent="0.25">
      <c r="G215" s="392">
        <v>163</v>
      </c>
      <c r="H215" s="440"/>
      <c r="I215" s="440"/>
      <c r="J215" s="414"/>
      <c r="K215" s="414"/>
      <c r="L215" s="414"/>
      <c r="M215" s="414"/>
      <c r="N215" s="414"/>
      <c r="O215" s="414"/>
    </row>
    <row r="216" spans="7:15" x14ac:dyDescent="0.25">
      <c r="G216" s="392">
        <v>164</v>
      </c>
      <c r="H216" s="440"/>
      <c r="I216" s="440"/>
      <c r="J216" s="414"/>
      <c r="K216" s="414"/>
      <c r="L216" s="414"/>
      <c r="M216" s="414"/>
      <c r="N216" s="414"/>
      <c r="O216" s="414"/>
    </row>
    <row r="217" spans="7:15" x14ac:dyDescent="0.25">
      <c r="G217" s="392">
        <v>165</v>
      </c>
      <c r="H217" s="440"/>
      <c r="I217" s="440"/>
      <c r="J217" s="414"/>
      <c r="K217" s="414"/>
      <c r="L217" s="414"/>
      <c r="M217" s="414"/>
      <c r="N217" s="414"/>
      <c r="O217" s="414"/>
    </row>
    <row r="218" spans="7:15" x14ac:dyDescent="0.25">
      <c r="G218" s="392">
        <v>166</v>
      </c>
      <c r="H218" s="440"/>
      <c r="I218" s="440"/>
      <c r="J218" s="414"/>
      <c r="K218" s="414"/>
      <c r="L218" s="414"/>
      <c r="M218" s="414"/>
      <c r="N218" s="414"/>
      <c r="O218" s="414"/>
    </row>
    <row r="219" spans="7:15" x14ac:dyDescent="0.25">
      <c r="G219" s="392">
        <v>167</v>
      </c>
      <c r="H219" s="440"/>
      <c r="I219" s="440"/>
      <c r="J219" s="414"/>
      <c r="K219" s="414"/>
      <c r="L219" s="414"/>
      <c r="M219" s="414"/>
      <c r="N219" s="414"/>
      <c r="O219" s="414"/>
    </row>
    <row r="220" spans="7:15" x14ac:dyDescent="0.25">
      <c r="G220" s="392">
        <v>168</v>
      </c>
      <c r="H220" s="440"/>
      <c r="I220" s="440"/>
      <c r="J220" s="414"/>
      <c r="K220" s="414"/>
      <c r="L220" s="414"/>
      <c r="M220" s="414"/>
      <c r="N220" s="414"/>
      <c r="O220" s="414"/>
    </row>
    <row r="221" spans="7:15" x14ac:dyDescent="0.25">
      <c r="G221" s="392">
        <v>169</v>
      </c>
      <c r="H221" s="440"/>
      <c r="I221" s="440"/>
      <c r="J221" s="414"/>
      <c r="K221" s="414"/>
      <c r="L221" s="414"/>
      <c r="M221" s="414"/>
      <c r="N221" s="414"/>
      <c r="O221" s="414"/>
    </row>
    <row r="222" spans="7:15" x14ac:dyDescent="0.25">
      <c r="G222" s="392">
        <v>170</v>
      </c>
      <c r="H222" s="440"/>
      <c r="I222" s="440"/>
      <c r="J222" s="414"/>
      <c r="K222" s="414"/>
      <c r="L222" s="414"/>
      <c r="M222" s="414"/>
      <c r="N222" s="414"/>
      <c r="O222" s="414"/>
    </row>
    <row r="223" spans="7:15" x14ac:dyDescent="0.25">
      <c r="G223" s="392">
        <v>171</v>
      </c>
      <c r="H223" s="440"/>
      <c r="I223" s="440"/>
      <c r="J223" s="414"/>
      <c r="K223" s="414"/>
      <c r="L223" s="414"/>
      <c r="M223" s="414"/>
      <c r="N223" s="414"/>
      <c r="O223" s="414"/>
    </row>
    <row r="224" spans="7:15" x14ac:dyDescent="0.25">
      <c r="G224" s="392">
        <v>172</v>
      </c>
      <c r="H224" s="440"/>
      <c r="I224" s="440"/>
      <c r="J224" s="414"/>
      <c r="K224" s="414"/>
      <c r="L224" s="414"/>
      <c r="M224" s="414"/>
      <c r="N224" s="414"/>
      <c r="O224" s="414"/>
    </row>
    <row r="225" spans="7:15" x14ac:dyDescent="0.25">
      <c r="G225" s="392">
        <v>173</v>
      </c>
      <c r="H225" s="440"/>
      <c r="I225" s="440"/>
      <c r="J225" s="414"/>
      <c r="K225" s="414"/>
      <c r="L225" s="414"/>
      <c r="M225" s="414"/>
      <c r="N225" s="414"/>
      <c r="O225" s="414"/>
    </row>
    <row r="226" spans="7:15" x14ac:dyDescent="0.25">
      <c r="G226" s="392">
        <v>174</v>
      </c>
      <c r="H226" s="440"/>
      <c r="I226" s="440"/>
      <c r="J226" s="414"/>
      <c r="K226" s="414"/>
      <c r="L226" s="414"/>
      <c r="M226" s="414"/>
      <c r="N226" s="414"/>
      <c r="O226" s="414"/>
    </row>
    <row r="227" spans="7:15" x14ac:dyDescent="0.25">
      <c r="G227" s="392">
        <v>175</v>
      </c>
      <c r="H227" s="440"/>
      <c r="I227" s="440"/>
      <c r="J227" s="414"/>
      <c r="K227" s="414"/>
      <c r="L227" s="414"/>
      <c r="M227" s="414"/>
      <c r="N227" s="414"/>
      <c r="O227" s="414"/>
    </row>
    <row r="228" spans="7:15" x14ac:dyDescent="0.25">
      <c r="G228" s="392">
        <v>176</v>
      </c>
      <c r="H228" s="440"/>
      <c r="I228" s="440"/>
      <c r="J228" s="414"/>
      <c r="K228" s="414"/>
      <c r="L228" s="414"/>
      <c r="M228" s="414"/>
      <c r="N228" s="414"/>
      <c r="O228" s="414"/>
    </row>
    <row r="229" spans="7:15" x14ac:dyDescent="0.25">
      <c r="G229" s="392">
        <v>177</v>
      </c>
      <c r="H229" s="440"/>
      <c r="I229" s="440"/>
      <c r="J229" s="414"/>
      <c r="K229" s="414"/>
      <c r="L229" s="414"/>
      <c r="M229" s="414"/>
      <c r="N229" s="414"/>
      <c r="O229" s="414"/>
    </row>
    <row r="230" spans="7:15" x14ac:dyDescent="0.25">
      <c r="G230" s="392">
        <v>178</v>
      </c>
      <c r="H230" s="440"/>
      <c r="I230" s="440"/>
      <c r="J230" s="414"/>
      <c r="K230" s="414"/>
      <c r="L230" s="414"/>
      <c r="M230" s="414"/>
      <c r="N230" s="414"/>
      <c r="O230" s="414"/>
    </row>
    <row r="231" spans="7:15" x14ac:dyDescent="0.25">
      <c r="G231" s="392">
        <v>179</v>
      </c>
      <c r="H231" s="440"/>
      <c r="I231" s="440"/>
      <c r="J231" s="414"/>
      <c r="K231" s="414"/>
      <c r="L231" s="414"/>
      <c r="M231" s="414"/>
      <c r="N231" s="414"/>
      <c r="O231" s="414"/>
    </row>
    <row r="232" spans="7:15" x14ac:dyDescent="0.25">
      <c r="G232" s="392">
        <v>180</v>
      </c>
      <c r="H232" s="440"/>
      <c r="I232" s="440"/>
      <c r="J232" s="414"/>
      <c r="K232" s="414"/>
      <c r="L232" s="414"/>
      <c r="M232" s="414"/>
      <c r="N232" s="414"/>
      <c r="O232" s="414"/>
    </row>
    <row r="233" spans="7:15" x14ac:dyDescent="0.25">
      <c r="G233" s="392">
        <v>181</v>
      </c>
      <c r="H233" s="440"/>
      <c r="I233" s="440"/>
      <c r="J233" s="414"/>
      <c r="K233" s="414"/>
      <c r="L233" s="414"/>
      <c r="M233" s="414"/>
      <c r="N233" s="414"/>
      <c r="O233" s="414"/>
    </row>
    <row r="234" spans="7:15" x14ac:dyDescent="0.25">
      <c r="G234" s="392">
        <v>182</v>
      </c>
      <c r="H234" s="440"/>
      <c r="I234" s="440"/>
      <c r="J234" s="414"/>
      <c r="K234" s="414"/>
      <c r="L234" s="414"/>
      <c r="M234" s="414"/>
      <c r="N234" s="414"/>
      <c r="O234" s="414"/>
    </row>
    <row r="235" spans="7:15" x14ac:dyDescent="0.25">
      <c r="G235" s="392">
        <v>183</v>
      </c>
      <c r="H235" s="440"/>
      <c r="I235" s="440"/>
      <c r="J235" s="414"/>
      <c r="K235" s="414"/>
      <c r="L235" s="414"/>
      <c r="M235" s="414"/>
      <c r="N235" s="414"/>
      <c r="O235" s="414"/>
    </row>
    <row r="236" spans="7:15" x14ac:dyDescent="0.25">
      <c r="G236" s="392">
        <v>184</v>
      </c>
      <c r="H236" s="440"/>
      <c r="I236" s="440"/>
      <c r="J236" s="414"/>
      <c r="K236" s="414"/>
      <c r="L236" s="414"/>
      <c r="M236" s="414"/>
      <c r="N236" s="414"/>
      <c r="O236" s="414"/>
    </row>
    <row r="237" spans="7:15" x14ac:dyDescent="0.25">
      <c r="G237" s="392">
        <v>185</v>
      </c>
      <c r="H237" s="440"/>
      <c r="I237" s="440"/>
      <c r="J237" s="414"/>
      <c r="K237" s="414"/>
      <c r="L237" s="414"/>
      <c r="M237" s="414"/>
      <c r="N237" s="414"/>
      <c r="O237" s="414"/>
    </row>
    <row r="238" spans="7:15" x14ac:dyDescent="0.25">
      <c r="G238" s="392">
        <v>186</v>
      </c>
      <c r="H238" s="440"/>
      <c r="I238" s="440"/>
      <c r="J238" s="414"/>
      <c r="K238" s="414"/>
      <c r="L238" s="414"/>
      <c r="M238" s="414"/>
      <c r="N238" s="414"/>
      <c r="O238" s="414"/>
    </row>
    <row r="239" spans="7:15" x14ac:dyDescent="0.25">
      <c r="G239" s="392">
        <v>187</v>
      </c>
      <c r="H239" s="440"/>
      <c r="I239" s="440"/>
      <c r="J239" s="414"/>
      <c r="K239" s="414"/>
      <c r="L239" s="414"/>
      <c r="M239" s="414"/>
      <c r="N239" s="414"/>
      <c r="O239" s="414"/>
    </row>
    <row r="240" spans="7:15" x14ac:dyDescent="0.25">
      <c r="G240" s="392">
        <v>188</v>
      </c>
      <c r="H240" s="440"/>
      <c r="I240" s="440"/>
      <c r="J240" s="414"/>
      <c r="K240" s="414"/>
      <c r="L240" s="414"/>
      <c r="M240" s="414"/>
      <c r="N240" s="414"/>
      <c r="O240" s="414"/>
    </row>
    <row r="241" spans="7:15" x14ac:dyDescent="0.25">
      <c r="G241" s="392">
        <v>189</v>
      </c>
      <c r="H241" s="440"/>
      <c r="I241" s="440"/>
      <c r="J241" s="414"/>
      <c r="K241" s="414"/>
      <c r="L241" s="414"/>
      <c r="M241" s="414"/>
      <c r="N241" s="414"/>
      <c r="O241" s="414"/>
    </row>
    <row r="242" spans="7:15" x14ac:dyDescent="0.25">
      <c r="G242" s="392">
        <v>190</v>
      </c>
      <c r="H242" s="440"/>
      <c r="I242" s="440"/>
      <c r="J242" s="414"/>
      <c r="K242" s="414"/>
      <c r="L242" s="414"/>
      <c r="M242" s="414"/>
      <c r="N242" s="414"/>
      <c r="O242" s="414"/>
    </row>
    <row r="243" spans="7:15" x14ac:dyDescent="0.25">
      <c r="G243" s="392">
        <v>191</v>
      </c>
      <c r="H243" s="440"/>
      <c r="I243" s="440"/>
      <c r="J243" s="414"/>
      <c r="K243" s="414"/>
      <c r="L243" s="414"/>
      <c r="M243" s="414"/>
      <c r="N243" s="414"/>
      <c r="O243" s="414"/>
    </row>
    <row r="244" spans="7:15" x14ac:dyDescent="0.25">
      <c r="G244" s="392">
        <v>192</v>
      </c>
      <c r="H244" s="440"/>
      <c r="I244" s="440"/>
      <c r="J244" s="414"/>
      <c r="K244" s="414"/>
      <c r="L244" s="414"/>
      <c r="M244" s="414"/>
      <c r="N244" s="414"/>
      <c r="O244" s="414"/>
    </row>
    <row r="245" spans="7:15" x14ac:dyDescent="0.25">
      <c r="G245" s="392">
        <v>193</v>
      </c>
      <c r="H245" s="440"/>
      <c r="I245" s="440"/>
      <c r="J245" s="414"/>
      <c r="K245" s="414"/>
      <c r="L245" s="414"/>
      <c r="M245" s="414"/>
      <c r="N245" s="414"/>
      <c r="O245" s="414"/>
    </row>
    <row r="246" spans="7:15" x14ac:dyDescent="0.25">
      <c r="G246" s="392">
        <v>194</v>
      </c>
      <c r="H246" s="440"/>
      <c r="I246" s="440"/>
      <c r="J246" s="414"/>
      <c r="K246" s="414"/>
      <c r="L246" s="414"/>
      <c r="M246" s="414"/>
      <c r="N246" s="414"/>
      <c r="O246" s="414"/>
    </row>
    <row r="247" spans="7:15" x14ac:dyDescent="0.25">
      <c r="G247" s="392">
        <v>195</v>
      </c>
      <c r="H247" s="440"/>
      <c r="I247" s="440"/>
      <c r="J247" s="414"/>
      <c r="K247" s="414"/>
      <c r="L247" s="414"/>
      <c r="M247" s="414"/>
      <c r="N247" s="414"/>
      <c r="O247" s="414"/>
    </row>
    <row r="248" spans="7:15" x14ac:dyDescent="0.25">
      <c r="G248" s="392">
        <v>196</v>
      </c>
      <c r="H248" s="440"/>
      <c r="I248" s="440"/>
      <c r="J248" s="414"/>
      <c r="K248" s="414"/>
      <c r="L248" s="414"/>
      <c r="M248" s="414"/>
      <c r="N248" s="414"/>
      <c r="O248" s="414"/>
    </row>
    <row r="249" spans="7:15" x14ac:dyDescent="0.25">
      <c r="G249" s="392">
        <v>197</v>
      </c>
      <c r="H249" s="440"/>
      <c r="I249" s="440"/>
      <c r="J249" s="414"/>
      <c r="K249" s="414"/>
      <c r="L249" s="414"/>
      <c r="M249" s="414"/>
      <c r="N249" s="414"/>
      <c r="O249" s="414"/>
    </row>
    <row r="250" spans="7:15" x14ac:dyDescent="0.25">
      <c r="G250" s="392">
        <v>198</v>
      </c>
      <c r="H250" s="440"/>
      <c r="I250" s="440"/>
      <c r="J250" s="414"/>
      <c r="K250" s="414"/>
      <c r="L250" s="414"/>
      <c r="M250" s="414"/>
      <c r="N250" s="414"/>
      <c r="O250" s="414"/>
    </row>
    <row r="251" spans="7:15" x14ac:dyDescent="0.25">
      <c r="G251" s="392">
        <v>199</v>
      </c>
      <c r="H251" s="440"/>
      <c r="I251" s="440"/>
      <c r="J251" s="414"/>
      <c r="K251" s="414"/>
      <c r="L251" s="414"/>
      <c r="M251" s="414"/>
      <c r="N251" s="414"/>
      <c r="O251" s="414"/>
    </row>
    <row r="252" spans="7:15" x14ac:dyDescent="0.25">
      <c r="G252" s="392">
        <v>200</v>
      </c>
      <c r="H252" s="440"/>
      <c r="I252" s="440"/>
      <c r="J252" s="414"/>
      <c r="K252" s="414"/>
      <c r="L252" s="414"/>
      <c r="M252" s="414"/>
      <c r="N252" s="414"/>
      <c r="O252" s="414"/>
    </row>
    <row r="253" spans="7:15" x14ac:dyDescent="0.25">
      <c r="G253" s="392">
        <v>201</v>
      </c>
      <c r="H253" s="440"/>
      <c r="I253" s="440"/>
      <c r="J253" s="414"/>
      <c r="K253" s="414"/>
      <c r="L253" s="414"/>
      <c r="M253" s="414"/>
      <c r="N253" s="414"/>
      <c r="O253" s="414"/>
    </row>
    <row r="254" spans="7:15" x14ac:dyDescent="0.25">
      <c r="G254" s="392">
        <v>202</v>
      </c>
      <c r="H254" s="440"/>
      <c r="I254" s="440"/>
      <c r="J254" s="414"/>
      <c r="K254" s="414"/>
      <c r="L254" s="414"/>
      <c r="M254" s="414"/>
      <c r="N254" s="414"/>
      <c r="O254" s="414"/>
    </row>
    <row r="255" spans="7:15" x14ac:dyDescent="0.25">
      <c r="G255" s="392">
        <v>203</v>
      </c>
      <c r="H255" s="440"/>
      <c r="I255" s="440"/>
      <c r="J255" s="414"/>
      <c r="K255" s="414"/>
      <c r="L255" s="414"/>
      <c r="M255" s="414"/>
      <c r="N255" s="414"/>
      <c r="O255" s="414"/>
    </row>
    <row r="256" spans="7:15" x14ac:dyDescent="0.25">
      <c r="G256" s="392">
        <v>204</v>
      </c>
      <c r="H256" s="440"/>
      <c r="I256" s="440"/>
      <c r="J256" s="414"/>
      <c r="K256" s="414"/>
      <c r="L256" s="414"/>
      <c r="M256" s="414"/>
      <c r="N256" s="414"/>
      <c r="O256" s="414"/>
    </row>
    <row r="257" spans="7:15" x14ac:dyDescent="0.25">
      <c r="G257" s="392">
        <v>205</v>
      </c>
      <c r="H257" s="440"/>
      <c r="I257" s="440"/>
      <c r="J257" s="414"/>
      <c r="K257" s="414"/>
      <c r="L257" s="414"/>
      <c r="M257" s="414"/>
      <c r="N257" s="414"/>
      <c r="O257" s="414"/>
    </row>
    <row r="258" spans="7:15" x14ac:dyDescent="0.25">
      <c r="G258" s="392">
        <v>206</v>
      </c>
      <c r="H258" s="440"/>
      <c r="I258" s="440"/>
      <c r="J258" s="414"/>
      <c r="K258" s="414"/>
      <c r="L258" s="414"/>
      <c r="M258" s="414"/>
      <c r="N258" s="414"/>
      <c r="O258" s="414"/>
    </row>
    <row r="259" spans="7:15" x14ac:dyDescent="0.25">
      <c r="G259" s="392">
        <v>207</v>
      </c>
      <c r="H259" s="440"/>
      <c r="I259" s="440"/>
      <c r="J259" s="414"/>
      <c r="K259" s="414"/>
      <c r="L259" s="414"/>
      <c r="M259" s="414"/>
      <c r="N259" s="414"/>
      <c r="O259" s="414"/>
    </row>
    <row r="260" spans="7:15" x14ac:dyDescent="0.25">
      <c r="G260" s="392">
        <v>208</v>
      </c>
      <c r="H260" s="440"/>
      <c r="I260" s="440"/>
      <c r="J260" s="414"/>
      <c r="K260" s="414"/>
      <c r="L260" s="414"/>
      <c r="M260" s="414"/>
      <c r="N260" s="414"/>
      <c r="O260" s="414"/>
    </row>
    <row r="261" spans="7:15" x14ac:dyDescent="0.25">
      <c r="G261" s="392">
        <v>209</v>
      </c>
      <c r="H261" s="440"/>
      <c r="I261" s="440"/>
      <c r="J261" s="414"/>
      <c r="K261" s="414"/>
      <c r="L261" s="414"/>
      <c r="M261" s="414"/>
      <c r="N261" s="414"/>
      <c r="O261" s="414"/>
    </row>
    <row r="262" spans="7:15" x14ac:dyDescent="0.25">
      <c r="G262" s="392">
        <v>210</v>
      </c>
      <c r="H262" s="440"/>
      <c r="I262" s="440"/>
      <c r="J262" s="414"/>
      <c r="K262" s="414"/>
      <c r="L262" s="414"/>
      <c r="M262" s="414"/>
      <c r="N262" s="414"/>
      <c r="O262" s="414"/>
    </row>
    <row r="263" spans="7:15" x14ac:dyDescent="0.25">
      <c r="G263" s="392">
        <v>211</v>
      </c>
      <c r="H263" s="440"/>
      <c r="I263" s="440"/>
      <c r="J263" s="414"/>
      <c r="K263" s="414"/>
      <c r="L263" s="414"/>
      <c r="M263" s="414"/>
      <c r="N263" s="414"/>
      <c r="O263" s="414"/>
    </row>
    <row r="264" spans="7:15" x14ac:dyDescent="0.25">
      <c r="G264" s="392">
        <v>212</v>
      </c>
      <c r="H264" s="440"/>
      <c r="I264" s="440"/>
      <c r="J264" s="414"/>
      <c r="K264" s="414"/>
      <c r="L264" s="414"/>
      <c r="M264" s="414"/>
      <c r="N264" s="414"/>
      <c r="O264" s="414"/>
    </row>
    <row r="265" spans="7:15" x14ac:dyDescent="0.25">
      <c r="G265" s="392">
        <v>213</v>
      </c>
      <c r="H265" s="440"/>
      <c r="I265" s="440"/>
      <c r="J265" s="414"/>
      <c r="K265" s="414"/>
      <c r="L265" s="414"/>
      <c r="M265" s="414"/>
      <c r="N265" s="414"/>
      <c r="O265" s="414"/>
    </row>
    <row r="266" spans="7:15" x14ac:dyDescent="0.25">
      <c r="G266" s="392">
        <v>214</v>
      </c>
      <c r="H266" s="440"/>
      <c r="I266" s="440"/>
      <c r="J266" s="414"/>
      <c r="K266" s="414"/>
      <c r="L266" s="414"/>
      <c r="M266" s="414"/>
      <c r="N266" s="414"/>
      <c r="O266" s="414"/>
    </row>
    <row r="267" spans="7:15" x14ac:dyDescent="0.25">
      <c r="G267" s="392">
        <v>215</v>
      </c>
      <c r="H267" s="440"/>
      <c r="I267" s="440"/>
      <c r="J267" s="414"/>
      <c r="K267" s="414"/>
      <c r="L267" s="414"/>
      <c r="M267" s="414"/>
      <c r="N267" s="414"/>
      <c r="O267" s="414"/>
    </row>
    <row r="268" spans="7:15" x14ac:dyDescent="0.25">
      <c r="G268" s="392">
        <v>216</v>
      </c>
      <c r="H268" s="440"/>
      <c r="I268" s="440"/>
      <c r="J268" s="414"/>
      <c r="K268" s="414"/>
      <c r="L268" s="414"/>
      <c r="M268" s="414"/>
      <c r="N268" s="414"/>
      <c r="O268" s="414"/>
    </row>
    <row r="269" spans="7:15" x14ac:dyDescent="0.25">
      <c r="G269" s="392">
        <v>217</v>
      </c>
      <c r="H269" s="440"/>
      <c r="I269" s="440"/>
      <c r="J269" s="414"/>
      <c r="K269" s="414"/>
      <c r="L269" s="414"/>
      <c r="M269" s="414"/>
      <c r="N269" s="414"/>
      <c r="O269" s="414"/>
    </row>
    <row r="270" spans="7:15" x14ac:dyDescent="0.25">
      <c r="G270" s="392">
        <v>218</v>
      </c>
      <c r="H270" s="440"/>
      <c r="I270" s="440"/>
      <c r="J270" s="414"/>
      <c r="K270" s="414"/>
      <c r="L270" s="414"/>
      <c r="M270" s="414"/>
      <c r="N270" s="414"/>
      <c r="O270" s="414"/>
    </row>
    <row r="271" spans="7:15" x14ac:dyDescent="0.25">
      <c r="G271" s="392">
        <v>219</v>
      </c>
      <c r="H271" s="440"/>
      <c r="I271" s="440"/>
      <c r="J271" s="414"/>
      <c r="K271" s="414"/>
      <c r="L271" s="414"/>
      <c r="M271" s="414"/>
      <c r="N271" s="414"/>
      <c r="O271" s="414"/>
    </row>
    <row r="272" spans="7:15" x14ac:dyDescent="0.25">
      <c r="G272" s="392">
        <v>220</v>
      </c>
      <c r="H272" s="440"/>
      <c r="I272" s="440"/>
      <c r="J272" s="414"/>
      <c r="K272" s="414"/>
      <c r="L272" s="414"/>
      <c r="M272" s="414"/>
      <c r="N272" s="414"/>
      <c r="O272" s="414"/>
    </row>
    <row r="273" spans="7:15" x14ac:dyDescent="0.25">
      <c r="G273" s="392">
        <v>221</v>
      </c>
      <c r="H273" s="440"/>
      <c r="I273" s="440"/>
      <c r="J273" s="414"/>
      <c r="K273" s="414"/>
      <c r="L273" s="414"/>
      <c r="M273" s="414"/>
      <c r="N273" s="414"/>
      <c r="O273" s="414"/>
    </row>
    <row r="274" spans="7:15" x14ac:dyDescent="0.25">
      <c r="G274" s="392">
        <v>222</v>
      </c>
      <c r="H274" s="440"/>
      <c r="I274" s="440"/>
      <c r="J274" s="414"/>
      <c r="K274" s="414"/>
      <c r="L274" s="414"/>
      <c r="M274" s="414"/>
      <c r="N274" s="414"/>
      <c r="O274" s="414"/>
    </row>
    <row r="275" spans="7:15" x14ac:dyDescent="0.25">
      <c r="G275" s="392">
        <v>223</v>
      </c>
      <c r="H275" s="440"/>
      <c r="I275" s="440"/>
      <c r="J275" s="414"/>
      <c r="K275" s="414"/>
      <c r="L275" s="414"/>
      <c r="M275" s="414"/>
      <c r="N275" s="414"/>
      <c r="O275" s="414"/>
    </row>
    <row r="276" spans="7:15" x14ac:dyDescent="0.25">
      <c r="G276" s="392">
        <v>224</v>
      </c>
      <c r="H276" s="440"/>
      <c r="I276" s="440"/>
      <c r="J276" s="414"/>
      <c r="K276" s="414"/>
      <c r="L276" s="414"/>
      <c r="M276" s="414"/>
      <c r="N276" s="414"/>
      <c r="O276" s="414"/>
    </row>
    <row r="277" spans="7:15" x14ac:dyDescent="0.25">
      <c r="G277" s="392">
        <v>225</v>
      </c>
      <c r="H277" s="440"/>
      <c r="I277" s="440"/>
      <c r="J277" s="414"/>
      <c r="K277" s="414"/>
      <c r="L277" s="414"/>
      <c r="M277" s="414"/>
      <c r="N277" s="414"/>
      <c r="O277" s="414"/>
    </row>
    <row r="278" spans="7:15" x14ac:dyDescent="0.25">
      <c r="G278" s="392">
        <v>226</v>
      </c>
      <c r="H278" s="440"/>
      <c r="I278" s="440"/>
      <c r="J278" s="414"/>
      <c r="K278" s="414"/>
      <c r="L278" s="414"/>
      <c r="M278" s="414"/>
      <c r="N278" s="414"/>
      <c r="O278" s="414"/>
    </row>
    <row r="279" spans="7:15" x14ac:dyDescent="0.25">
      <c r="G279" s="392">
        <v>227</v>
      </c>
      <c r="H279" s="440"/>
      <c r="I279" s="440"/>
      <c r="J279" s="414"/>
      <c r="K279" s="414"/>
      <c r="L279" s="414"/>
      <c r="M279" s="414"/>
      <c r="N279" s="414"/>
      <c r="O279" s="414"/>
    </row>
    <row r="280" spans="7:15" x14ac:dyDescent="0.25">
      <c r="G280" s="392">
        <v>228</v>
      </c>
      <c r="H280" s="440"/>
      <c r="I280" s="440"/>
      <c r="J280" s="414"/>
      <c r="K280" s="414"/>
      <c r="L280" s="414"/>
      <c r="M280" s="414"/>
      <c r="N280" s="414"/>
      <c r="O280" s="414"/>
    </row>
    <row r="281" spans="7:15" x14ac:dyDescent="0.25">
      <c r="G281" s="392">
        <v>229</v>
      </c>
      <c r="H281" s="440"/>
      <c r="I281" s="440"/>
      <c r="J281" s="414"/>
      <c r="K281" s="414"/>
      <c r="L281" s="414"/>
      <c r="M281" s="414"/>
      <c r="N281" s="414"/>
      <c r="O281" s="414"/>
    </row>
    <row r="282" spans="7:15" x14ac:dyDescent="0.25">
      <c r="G282" s="392">
        <v>230</v>
      </c>
      <c r="H282" s="440"/>
      <c r="I282" s="440"/>
      <c r="J282" s="414"/>
      <c r="K282" s="414"/>
      <c r="L282" s="414"/>
      <c r="M282" s="414"/>
      <c r="N282" s="414"/>
      <c r="O282" s="414"/>
    </row>
    <row r="283" spans="7:15" x14ac:dyDescent="0.25">
      <c r="G283" s="392">
        <v>231</v>
      </c>
      <c r="H283" s="440"/>
      <c r="I283" s="440"/>
      <c r="J283" s="414"/>
      <c r="K283" s="414"/>
      <c r="L283" s="414"/>
      <c r="M283" s="414"/>
      <c r="N283" s="414"/>
      <c r="O283" s="414"/>
    </row>
    <row r="284" spans="7:15" x14ac:dyDescent="0.25">
      <c r="G284" s="392">
        <v>232</v>
      </c>
      <c r="H284" s="440"/>
      <c r="I284" s="440"/>
      <c r="J284" s="414"/>
      <c r="K284" s="414"/>
      <c r="L284" s="414"/>
      <c r="M284" s="414"/>
      <c r="N284" s="414"/>
      <c r="O284" s="414"/>
    </row>
    <row r="285" spans="7:15" x14ac:dyDescent="0.25">
      <c r="G285" s="392">
        <v>233</v>
      </c>
      <c r="H285" s="440"/>
      <c r="I285" s="440"/>
      <c r="J285" s="414"/>
      <c r="K285" s="414"/>
      <c r="L285" s="414"/>
      <c r="M285" s="414"/>
      <c r="N285" s="414"/>
      <c r="O285" s="414"/>
    </row>
    <row r="286" spans="7:15" x14ac:dyDescent="0.25">
      <c r="G286" s="392">
        <v>234</v>
      </c>
      <c r="H286" s="440"/>
      <c r="I286" s="440"/>
      <c r="J286" s="414"/>
      <c r="K286" s="414"/>
      <c r="L286" s="414"/>
      <c r="M286" s="414"/>
      <c r="N286" s="414"/>
      <c r="O286" s="414"/>
    </row>
    <row r="287" spans="7:15" x14ac:dyDescent="0.25">
      <c r="G287" s="392">
        <v>235</v>
      </c>
      <c r="H287" s="440"/>
      <c r="I287" s="440"/>
      <c r="J287" s="414"/>
      <c r="K287" s="414"/>
      <c r="L287" s="414"/>
      <c r="M287" s="414"/>
      <c r="N287" s="414"/>
      <c r="O287" s="414"/>
    </row>
    <row r="288" spans="7:15" x14ac:dyDescent="0.25">
      <c r="G288" s="392">
        <v>236</v>
      </c>
      <c r="H288" s="440"/>
      <c r="I288" s="440"/>
      <c r="J288" s="414"/>
      <c r="K288" s="414"/>
      <c r="L288" s="414"/>
      <c r="M288" s="414"/>
      <c r="N288" s="414"/>
      <c r="O288" s="414"/>
    </row>
    <row r="289" spans="7:15" x14ac:dyDescent="0.25">
      <c r="G289" s="392">
        <v>237</v>
      </c>
      <c r="H289" s="440"/>
      <c r="I289" s="440"/>
      <c r="J289" s="414"/>
      <c r="K289" s="414"/>
      <c r="L289" s="414"/>
      <c r="M289" s="414"/>
      <c r="N289" s="414"/>
      <c r="O289" s="414"/>
    </row>
    <row r="290" spans="7:15" x14ac:dyDescent="0.25">
      <c r="G290" s="392">
        <v>238</v>
      </c>
      <c r="H290" s="440"/>
      <c r="I290" s="440"/>
      <c r="J290" s="414"/>
      <c r="K290" s="414"/>
      <c r="L290" s="414"/>
      <c r="M290" s="414"/>
      <c r="N290" s="414"/>
      <c r="O290" s="414"/>
    </row>
    <row r="291" spans="7:15" x14ac:dyDescent="0.25">
      <c r="G291" s="392">
        <v>239</v>
      </c>
      <c r="H291" s="440"/>
      <c r="I291" s="440"/>
      <c r="J291" s="414"/>
      <c r="K291" s="414"/>
      <c r="L291" s="414"/>
      <c r="M291" s="414"/>
      <c r="N291" s="414"/>
      <c r="O291" s="414"/>
    </row>
    <row r="292" spans="7:15" x14ac:dyDescent="0.25">
      <c r="G292" s="392">
        <v>240</v>
      </c>
      <c r="H292" s="440"/>
      <c r="I292" s="440"/>
      <c r="J292" s="414"/>
      <c r="K292" s="414"/>
      <c r="L292" s="414"/>
      <c r="M292" s="414"/>
      <c r="N292" s="414"/>
      <c r="O292" s="414"/>
    </row>
    <row r="293" spans="7:15" x14ac:dyDescent="0.25">
      <c r="G293" s="392">
        <v>241</v>
      </c>
      <c r="H293" s="440"/>
      <c r="I293" s="440"/>
      <c r="J293" s="414"/>
      <c r="K293" s="414"/>
      <c r="L293" s="414"/>
      <c r="M293" s="414"/>
      <c r="N293" s="414"/>
      <c r="O293" s="414"/>
    </row>
    <row r="294" spans="7:15" x14ac:dyDescent="0.25">
      <c r="G294" s="392">
        <v>242</v>
      </c>
      <c r="H294" s="440"/>
      <c r="I294" s="440"/>
      <c r="J294" s="414"/>
      <c r="K294" s="414"/>
      <c r="L294" s="414"/>
      <c r="M294" s="414"/>
      <c r="N294" s="414"/>
      <c r="O294" s="414"/>
    </row>
    <row r="295" spans="7:15" x14ac:dyDescent="0.25">
      <c r="G295" s="392">
        <v>243</v>
      </c>
      <c r="H295" s="440"/>
      <c r="I295" s="440"/>
      <c r="J295" s="414"/>
      <c r="K295" s="414"/>
      <c r="L295" s="414"/>
      <c r="M295" s="414"/>
      <c r="N295" s="414"/>
      <c r="O295" s="414"/>
    </row>
    <row r="296" spans="7:15" x14ac:dyDescent="0.25">
      <c r="G296" s="392">
        <v>244</v>
      </c>
      <c r="H296" s="440"/>
      <c r="I296" s="440"/>
      <c r="J296" s="414"/>
      <c r="K296" s="414"/>
      <c r="L296" s="414"/>
      <c r="M296" s="414"/>
      <c r="N296" s="414"/>
      <c r="O296" s="414"/>
    </row>
    <row r="297" spans="7:15" x14ac:dyDescent="0.25">
      <c r="G297" s="392">
        <v>245</v>
      </c>
      <c r="H297" s="440"/>
      <c r="I297" s="440"/>
      <c r="J297" s="414"/>
      <c r="K297" s="414"/>
      <c r="L297" s="414"/>
      <c r="M297" s="414"/>
      <c r="N297" s="414"/>
      <c r="O297" s="414"/>
    </row>
    <row r="298" spans="7:15" x14ac:dyDescent="0.25">
      <c r="G298" s="392">
        <v>246</v>
      </c>
      <c r="H298" s="440"/>
      <c r="I298" s="440"/>
      <c r="J298" s="414"/>
      <c r="K298" s="414"/>
      <c r="L298" s="414"/>
      <c r="M298" s="414"/>
      <c r="N298" s="414"/>
      <c r="O298" s="414"/>
    </row>
    <row r="299" spans="7:15" x14ac:dyDescent="0.25">
      <c r="G299" s="392">
        <v>247</v>
      </c>
      <c r="H299" s="440"/>
      <c r="I299" s="440"/>
      <c r="J299" s="414"/>
      <c r="K299" s="414"/>
      <c r="L299" s="414"/>
      <c r="M299" s="414"/>
      <c r="N299" s="414"/>
      <c r="O299" s="414"/>
    </row>
    <row r="300" spans="7:15" x14ac:dyDescent="0.25">
      <c r="G300" s="392">
        <v>248</v>
      </c>
      <c r="H300" s="440"/>
      <c r="I300" s="440"/>
      <c r="J300" s="414"/>
      <c r="K300" s="414"/>
      <c r="L300" s="414"/>
      <c r="M300" s="414"/>
      <c r="N300" s="414"/>
      <c r="O300" s="414"/>
    </row>
    <row r="301" spans="7:15" x14ac:dyDescent="0.25">
      <c r="G301" s="392">
        <v>249</v>
      </c>
      <c r="H301" s="440"/>
      <c r="I301" s="440"/>
      <c r="J301" s="414"/>
      <c r="K301" s="414"/>
      <c r="L301" s="414"/>
      <c r="M301" s="414"/>
      <c r="N301" s="414"/>
      <c r="O301" s="414"/>
    </row>
    <row r="302" spans="7:15" x14ac:dyDescent="0.25">
      <c r="G302" s="392">
        <v>250</v>
      </c>
      <c r="H302" s="440"/>
      <c r="I302" s="440"/>
      <c r="J302" s="414"/>
      <c r="K302" s="414"/>
      <c r="L302" s="414"/>
      <c r="M302" s="414"/>
      <c r="N302" s="414"/>
      <c r="O302" s="414"/>
    </row>
  </sheetData>
  <sheetProtection sheet="1" objects="1" scenarios="1"/>
  <dataConsolidate/>
  <mergeCells count="270">
    <mergeCell ref="C1:P1"/>
    <mergeCell ref="H57:I57"/>
    <mergeCell ref="H58:I58"/>
    <mergeCell ref="D47:N48"/>
    <mergeCell ref="H50:I50"/>
    <mergeCell ref="H53:I53"/>
    <mergeCell ref="D3:F3"/>
    <mergeCell ref="D5:I5"/>
    <mergeCell ref="K5:M5"/>
    <mergeCell ref="D6:I6"/>
    <mergeCell ref="K6:M6"/>
    <mergeCell ref="H54:I54"/>
    <mergeCell ref="H55:I55"/>
    <mergeCell ref="H56:I56"/>
    <mergeCell ref="I38:J38"/>
    <mergeCell ref="K38:L38"/>
    <mergeCell ref="I26:L26"/>
    <mergeCell ref="H26:H27"/>
    <mergeCell ref="D35:N36"/>
    <mergeCell ref="H38:H39"/>
    <mergeCell ref="D8:M8"/>
    <mergeCell ref="D9:M9"/>
    <mergeCell ref="D11:N13"/>
    <mergeCell ref="D23:N24"/>
    <mergeCell ref="H67:I67"/>
    <mergeCell ref="H68:I68"/>
    <mergeCell ref="H59:I59"/>
    <mergeCell ref="H60:I60"/>
    <mergeCell ref="H61:I61"/>
    <mergeCell ref="H62:I62"/>
    <mergeCell ref="H63:I63"/>
    <mergeCell ref="H74:I74"/>
    <mergeCell ref="H75:I75"/>
    <mergeCell ref="H64:I64"/>
    <mergeCell ref="H65:I65"/>
    <mergeCell ref="H66:I66"/>
    <mergeCell ref="H76:I76"/>
    <mergeCell ref="H77:I77"/>
    <mergeCell ref="H78:I78"/>
    <mergeCell ref="H69:I69"/>
    <mergeCell ref="H70:I70"/>
    <mergeCell ref="H71:I71"/>
    <mergeCell ref="H72:I72"/>
    <mergeCell ref="H73:I73"/>
    <mergeCell ref="H84:I84"/>
    <mergeCell ref="H85:I85"/>
    <mergeCell ref="H86:I86"/>
    <mergeCell ref="H87:I87"/>
    <mergeCell ref="H88:I88"/>
    <mergeCell ref="H79:I79"/>
    <mergeCell ref="H80:I80"/>
    <mergeCell ref="H81:I81"/>
    <mergeCell ref="H82:I82"/>
    <mergeCell ref="H83:I83"/>
    <mergeCell ref="H94:I94"/>
    <mergeCell ref="H95:I95"/>
    <mergeCell ref="H96:I96"/>
    <mergeCell ref="H97:I97"/>
    <mergeCell ref="H98:I98"/>
    <mergeCell ref="H89:I89"/>
    <mergeCell ref="H90:I90"/>
    <mergeCell ref="H91:I91"/>
    <mergeCell ref="H92:I92"/>
    <mergeCell ref="H93:I93"/>
    <mergeCell ref="H104:I104"/>
    <mergeCell ref="H105:I105"/>
    <mergeCell ref="H106:I106"/>
    <mergeCell ref="H107:I107"/>
    <mergeCell ref="H108:I108"/>
    <mergeCell ref="H99:I99"/>
    <mergeCell ref="H100:I100"/>
    <mergeCell ref="H101:I101"/>
    <mergeCell ref="H102:I102"/>
    <mergeCell ref="H103:I103"/>
    <mergeCell ref="H114:I114"/>
    <mergeCell ref="H115:I115"/>
    <mergeCell ref="H116:I116"/>
    <mergeCell ref="H117:I117"/>
    <mergeCell ref="H118:I118"/>
    <mergeCell ref="H109:I109"/>
    <mergeCell ref="H110:I110"/>
    <mergeCell ref="H111:I111"/>
    <mergeCell ref="H112:I112"/>
    <mergeCell ref="H113:I113"/>
    <mergeCell ref="H124:I124"/>
    <mergeCell ref="H125:I125"/>
    <mergeCell ref="H126:I126"/>
    <mergeCell ref="H127:I127"/>
    <mergeCell ref="H128:I128"/>
    <mergeCell ref="H119:I119"/>
    <mergeCell ref="H120:I120"/>
    <mergeCell ref="H121:I121"/>
    <mergeCell ref="H122:I122"/>
    <mergeCell ref="H123:I123"/>
    <mergeCell ref="H134:I134"/>
    <mergeCell ref="H135:I135"/>
    <mergeCell ref="H136:I136"/>
    <mergeCell ref="H137:I137"/>
    <mergeCell ref="H138:I138"/>
    <mergeCell ref="H129:I129"/>
    <mergeCell ref="H130:I130"/>
    <mergeCell ref="H131:I131"/>
    <mergeCell ref="H132:I132"/>
    <mergeCell ref="H133:I133"/>
    <mergeCell ref="H144:I144"/>
    <mergeCell ref="H145:I145"/>
    <mergeCell ref="H146:I146"/>
    <mergeCell ref="H147:I147"/>
    <mergeCell ref="H148:I148"/>
    <mergeCell ref="H139:I139"/>
    <mergeCell ref="H140:I140"/>
    <mergeCell ref="H141:I141"/>
    <mergeCell ref="H142:I142"/>
    <mergeCell ref="H143:I143"/>
    <mergeCell ref="H154:I154"/>
    <mergeCell ref="H155:I155"/>
    <mergeCell ref="H156:I156"/>
    <mergeCell ref="H157:I157"/>
    <mergeCell ref="H158:I158"/>
    <mergeCell ref="H149:I149"/>
    <mergeCell ref="H150:I150"/>
    <mergeCell ref="H151:I151"/>
    <mergeCell ref="H152:I152"/>
    <mergeCell ref="H153:I153"/>
    <mergeCell ref="H164:I164"/>
    <mergeCell ref="H165:I165"/>
    <mergeCell ref="H166:I166"/>
    <mergeCell ref="H167:I167"/>
    <mergeCell ref="H168:I168"/>
    <mergeCell ref="H159:I159"/>
    <mergeCell ref="H160:I160"/>
    <mergeCell ref="H161:I161"/>
    <mergeCell ref="H162:I162"/>
    <mergeCell ref="H163:I163"/>
    <mergeCell ref="H174:I174"/>
    <mergeCell ref="H175:I175"/>
    <mergeCell ref="H176:I176"/>
    <mergeCell ref="H177:I177"/>
    <mergeCell ref="H178:I178"/>
    <mergeCell ref="H169:I169"/>
    <mergeCell ref="H170:I170"/>
    <mergeCell ref="H171:I171"/>
    <mergeCell ref="H172:I172"/>
    <mergeCell ref="H173:I173"/>
    <mergeCell ref="H184:I184"/>
    <mergeCell ref="H185:I185"/>
    <mergeCell ref="H186:I186"/>
    <mergeCell ref="H187:I187"/>
    <mergeCell ref="H188:I188"/>
    <mergeCell ref="H179:I179"/>
    <mergeCell ref="H180:I180"/>
    <mergeCell ref="H181:I181"/>
    <mergeCell ref="H182:I182"/>
    <mergeCell ref="H183:I183"/>
    <mergeCell ref="H194:I194"/>
    <mergeCell ref="H195:I195"/>
    <mergeCell ref="H196:I196"/>
    <mergeCell ref="H197:I197"/>
    <mergeCell ref="H198:I198"/>
    <mergeCell ref="H189:I189"/>
    <mergeCell ref="H190:I190"/>
    <mergeCell ref="H191:I191"/>
    <mergeCell ref="H192:I192"/>
    <mergeCell ref="H193:I193"/>
    <mergeCell ref="H204:I204"/>
    <mergeCell ref="H205:I205"/>
    <mergeCell ref="H206:I206"/>
    <mergeCell ref="H207:I207"/>
    <mergeCell ref="H208:I208"/>
    <mergeCell ref="H199:I199"/>
    <mergeCell ref="H200:I200"/>
    <mergeCell ref="H201:I201"/>
    <mergeCell ref="H202:I202"/>
    <mergeCell ref="H203:I203"/>
    <mergeCell ref="H214:I214"/>
    <mergeCell ref="H215:I215"/>
    <mergeCell ref="H216:I216"/>
    <mergeCell ref="H217:I217"/>
    <mergeCell ref="H218:I218"/>
    <mergeCell ref="H209:I209"/>
    <mergeCell ref="H210:I210"/>
    <mergeCell ref="H211:I211"/>
    <mergeCell ref="H212:I212"/>
    <mergeCell ref="H213:I213"/>
    <mergeCell ref="H224:I224"/>
    <mergeCell ref="H225:I225"/>
    <mergeCell ref="H226:I226"/>
    <mergeCell ref="H227:I227"/>
    <mergeCell ref="H228:I228"/>
    <mergeCell ref="H219:I219"/>
    <mergeCell ref="H220:I220"/>
    <mergeCell ref="H221:I221"/>
    <mergeCell ref="H222:I222"/>
    <mergeCell ref="H223:I223"/>
    <mergeCell ref="H234:I234"/>
    <mergeCell ref="H235:I235"/>
    <mergeCell ref="H236:I236"/>
    <mergeCell ref="H237:I237"/>
    <mergeCell ref="H238:I238"/>
    <mergeCell ref="H229:I229"/>
    <mergeCell ref="H230:I230"/>
    <mergeCell ref="H231:I231"/>
    <mergeCell ref="H232:I232"/>
    <mergeCell ref="H233:I233"/>
    <mergeCell ref="H244:I244"/>
    <mergeCell ref="H245:I245"/>
    <mergeCell ref="H246:I246"/>
    <mergeCell ref="H247:I247"/>
    <mergeCell ref="H248:I248"/>
    <mergeCell ref="H239:I239"/>
    <mergeCell ref="H240:I240"/>
    <mergeCell ref="H241:I241"/>
    <mergeCell ref="H242:I242"/>
    <mergeCell ref="H243:I243"/>
    <mergeCell ref="H254:I254"/>
    <mergeCell ref="H255:I255"/>
    <mergeCell ref="H256:I256"/>
    <mergeCell ref="H257:I257"/>
    <mergeCell ref="H258:I258"/>
    <mergeCell ref="H249:I249"/>
    <mergeCell ref="H250:I250"/>
    <mergeCell ref="H251:I251"/>
    <mergeCell ref="H252:I252"/>
    <mergeCell ref="H253:I253"/>
    <mergeCell ref="H264:I264"/>
    <mergeCell ref="H265:I265"/>
    <mergeCell ref="H266:I266"/>
    <mergeCell ref="H267:I267"/>
    <mergeCell ref="H268:I268"/>
    <mergeCell ref="H259:I259"/>
    <mergeCell ref="H260:I260"/>
    <mergeCell ref="H261:I261"/>
    <mergeCell ref="H262:I262"/>
    <mergeCell ref="H263:I263"/>
    <mergeCell ref="H282:I282"/>
    <mergeCell ref="H283:I283"/>
    <mergeCell ref="H274:I274"/>
    <mergeCell ref="H275:I275"/>
    <mergeCell ref="H276:I276"/>
    <mergeCell ref="H277:I277"/>
    <mergeCell ref="H278:I278"/>
    <mergeCell ref="H269:I269"/>
    <mergeCell ref="H270:I270"/>
    <mergeCell ref="H271:I271"/>
    <mergeCell ref="H272:I272"/>
    <mergeCell ref="H273:I273"/>
    <mergeCell ref="H299:I299"/>
    <mergeCell ref="H300:I300"/>
    <mergeCell ref="H301:I301"/>
    <mergeCell ref="H302:I302"/>
    <mergeCell ref="H51:I51"/>
    <mergeCell ref="H52:I52"/>
    <mergeCell ref="H294:I294"/>
    <mergeCell ref="H295:I295"/>
    <mergeCell ref="H296:I296"/>
    <mergeCell ref="H297:I297"/>
    <mergeCell ref="H298:I298"/>
    <mergeCell ref="H289:I289"/>
    <mergeCell ref="H290:I290"/>
    <mergeCell ref="H291:I291"/>
    <mergeCell ref="H292:I292"/>
    <mergeCell ref="H293:I293"/>
    <mergeCell ref="H284:I284"/>
    <mergeCell ref="H285:I285"/>
    <mergeCell ref="H286:I286"/>
    <mergeCell ref="H287:I287"/>
    <mergeCell ref="H288:I288"/>
    <mergeCell ref="H279:I279"/>
    <mergeCell ref="H280:I280"/>
    <mergeCell ref="H281:I281"/>
  </mergeCells>
  <conditionalFormatting sqref="G54:G302">
    <cfRule type="expression" dxfId="42" priority="18">
      <formula>$H53&lt;&gt;""</formula>
    </cfRule>
  </conditionalFormatting>
  <conditionalFormatting sqref="H54:L302">
    <cfRule type="expression" dxfId="41" priority="17">
      <formula>$H53&lt;&gt;""</formula>
    </cfRule>
  </conditionalFormatting>
  <conditionalFormatting sqref="G53">
    <cfRule type="expression" dxfId="40" priority="1563">
      <formula>$H50&lt;&gt;""</formula>
    </cfRule>
  </conditionalFormatting>
  <conditionalFormatting sqref="H53:L53">
    <cfRule type="expression" dxfId="39" priority="1565">
      <formula>$H50&lt;&gt;""</formula>
    </cfRule>
  </conditionalFormatting>
  <conditionalFormatting sqref="M53">
    <cfRule type="expression" dxfId="38" priority="11">
      <formula>AND($H50&lt;&gt;"",$K$6="Grup empresarial")</formula>
    </cfRule>
  </conditionalFormatting>
  <conditionalFormatting sqref="M50">
    <cfRule type="expression" dxfId="37" priority="5">
      <formula>$K$6&lt;&gt;"Grup empresarial"</formula>
    </cfRule>
  </conditionalFormatting>
  <conditionalFormatting sqref="N50:O50">
    <cfRule type="expression" dxfId="36" priority="4">
      <formula>$K$6&lt;&gt;"Grup empresarial"</formula>
    </cfRule>
  </conditionalFormatting>
  <conditionalFormatting sqref="N53:O53">
    <cfRule type="expression" dxfId="35" priority="3">
      <formula>AND($H50&lt;&gt;"",$K$6="Grup empresarial")</formula>
    </cfRule>
  </conditionalFormatting>
  <conditionalFormatting sqref="M54:M302">
    <cfRule type="expression" dxfId="34" priority="2">
      <formula>AND($H53&lt;&gt;"",$K$6="Grup empresarial")</formula>
    </cfRule>
  </conditionalFormatting>
  <conditionalFormatting sqref="N54:O302">
    <cfRule type="expression" dxfId="33" priority="1">
      <formula>AND($H53&lt;&gt;"",$K$6="Grup empresarial")</formula>
    </cfRule>
  </conditionalFormatting>
  <dataValidations count="13">
    <dataValidation type="list" operator="equal" allowBlank="1" showInputMessage="1" showErrorMessage="1" sqref="G3">
      <formula1>Año</formula1>
      <formula2>0</formula2>
    </dataValidation>
    <dataValidation type="textLength" operator="equal" allowBlank="1" showInputMessage="1" showErrorMessage="1" error="Introduir 9 caràcters sense guions ni punts." sqref="J6 O53:O302">
      <formula1>9</formula1>
    </dataValidation>
    <dataValidation type="list" operator="equal" allowBlank="1" showInputMessage="1" showErrorMessage="1" sqref="K6:M6">
      <formula1>TipoOrg</formula1>
      <formula2>0</formula2>
    </dataValidation>
    <dataValidation type="list" operator="equal" allowBlank="1" showInputMessage="1" showErrorMessage="1" sqref="D9">
      <formula1>Sector</formula1>
      <formula2>0</formula2>
    </dataValidation>
    <dataValidation type="whole" operator="lessThan" allowBlank="1" showInputMessage="1" showErrorMessage="1" error="L'any 1 ha de ser anterior a l'any de càlcul." sqref="H15">
      <formula1>G3</formula1>
    </dataValidation>
    <dataValidation type="decimal" operator="greaterThan" allowBlank="1" showInputMessage="1" showErrorMessage="1" error="Este dato ha de ser un valor numérico" sqref="K15:L15 K17:L17 K19:L19 K21:L21">
      <formula1>0</formula1>
      <formula2>0</formula2>
    </dataValidation>
    <dataValidation type="whole" allowBlank="1" showInputMessage="1" showErrorMessage="1" error="L'any 2 ha de ser posterior a l'any 1." sqref="H17">
      <formula1>H15+1</formula1>
      <formula2>H21-1</formula2>
    </dataValidation>
    <dataValidation type="whole" allowBlank="1" showInputMessage="1" showErrorMessage="1" error="L'any 3 ha de ser posterior a l'any 2 i anterior a l'any de càlcul." sqref="H19">
      <formula1>H17+1</formula1>
      <formula2>H21-1</formula2>
    </dataValidation>
    <dataValidation type="decimal" operator="greaterThan" allowBlank="1" showInputMessage="1" showErrorMessage="1" error="Este dato ha ser un valor numérico." sqref="J29">
      <formula1>0</formula1>
      <formula2>0</formula2>
    </dataValidation>
    <dataValidation type="decimal" operator="greaterThan" allowBlank="1" showInputMessage="1" showErrorMessage="1" error="Aquesta dada ha de ser un valor numèric" sqref="K53:L53">
      <formula1>0</formula1>
    </dataValidation>
    <dataValidation type="decimal" operator="greaterThan" allowBlank="1" showInputMessage="1" showErrorMessage="1" error="Aquesta dada ha de ser un valor numèric" sqref="K54:L302">
      <formula1>0</formula1>
    </dataValidation>
    <dataValidation type="decimal" operator="greaterThan" allowBlank="1" showInputMessage="1" showErrorMessage="1" error="Aquesta dada ha de ser un valor numèric." sqref="I40:L40 I42:L44 J28:K28 J30:K32">
      <formula1>0</formula1>
    </dataValidation>
    <dataValidation operator="equal" allowBlank="1" showInputMessage="1" showErrorMessage="1" sqref="N303:N486"/>
  </dataValidations>
  <hyperlinks>
    <hyperlink ref="A4" location="'1_Combustibles fòssils'!A1" display="1. PC Abast 1: Comb. fòssils"/>
    <hyperlink ref="A5" location="'2_Fluorats'!A1" display="2. PC Abast 1: Fugues fluorats"/>
    <hyperlink ref="A6" location="'3_Emissions processos'!A1" display="3. PC Abast 1: Emissions procés"/>
    <hyperlink ref="A7" location="'4.1_Electricitat Illes Balears'!A1" display="4.1 PC 2: Electricitat I. Balears"/>
    <hyperlink ref="A8" location="'4.2_Electricitat Espanya'!A1" display="4.2 PC 2: Electricitat Espanya"/>
    <hyperlink ref="A9" location="'5_Informació addicional'!A1" display="5. Inf. addicional: renovables"/>
    <hyperlink ref="A10" location="'6.1_Resultats Illes Balears'!A1" display="6.1 Informe final: Resultats I. Balears"/>
    <hyperlink ref="A11" location="'6.2_Resultats Espanya'!A1" display="6.2 Informe final: Resultats Espany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Dades!$F$656:$F$658</xm:f>
          </x14:formula1>
          <xm:sqref>J53:J302</xm:sqref>
        </x14:dataValidation>
        <x14:dataValidation type="list" operator="equal" allowBlank="1" showInputMessage="1" showErrorMessage="1">
          <x14:formula1>
            <xm:f>Dades!$F$656:$F$658</xm:f>
          </x14:formula1>
          <xm:sqref>N53 N54:N302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53"/>
  <sheetViews>
    <sheetView showRowColHeaders="0" zoomScaleNormal="100" workbookViewId="0">
      <pane xSplit="1" topLeftCell="B1" activePane="topRight" state="frozen"/>
      <selection pane="topRight" activeCell="C1" sqref="C1:W1"/>
    </sheetView>
  </sheetViews>
  <sheetFormatPr baseColWidth="10" defaultColWidth="9.140625" defaultRowHeight="15" x14ac:dyDescent="0.25"/>
  <cols>
    <col min="1" max="1" width="31.5703125" style="41" customWidth="1"/>
    <col min="2" max="2" width="1.7109375" style="13" customWidth="1"/>
    <col min="3" max="3" width="1" style="13" customWidth="1"/>
    <col min="4" max="4" width="1.42578125" style="26" customWidth="1"/>
    <col min="5" max="5" width="24.7109375" style="26" customWidth="1"/>
    <col min="6" max="6" width="22.28515625" style="26" customWidth="1"/>
    <col min="7" max="7" width="14.85546875" style="26" customWidth="1"/>
    <col min="8" max="8" width="13.7109375" style="26" customWidth="1"/>
    <col min="9" max="9" width="14.85546875" style="26" customWidth="1"/>
    <col min="10" max="11" width="15.42578125" style="26" customWidth="1"/>
    <col min="12" max="12" width="16.7109375" style="26" customWidth="1"/>
    <col min="13" max="13" width="22.140625" style="26" customWidth="1"/>
    <col min="14" max="14" width="21.7109375" style="26" customWidth="1"/>
    <col min="15" max="15" width="22.28515625" style="26" customWidth="1"/>
    <col min="16" max="16" width="16" style="26" customWidth="1"/>
    <col min="17" max="17" width="16.5703125" style="26" customWidth="1"/>
    <col min="18" max="18" width="15.5703125" style="26" customWidth="1"/>
    <col min="19" max="19" width="17.5703125" style="26" customWidth="1"/>
    <col min="20" max="20" width="19" style="26" customWidth="1"/>
    <col min="21" max="21" width="20.5703125" style="26" customWidth="1"/>
    <col min="22" max="22" width="20" style="26" customWidth="1"/>
    <col min="23" max="23" width="3.85546875" style="26" customWidth="1"/>
    <col min="24" max="1025" width="11.42578125" style="26"/>
  </cols>
  <sheetData>
    <row r="1" spans="1:23" ht="40.700000000000003" customHeight="1" x14ac:dyDescent="0.25">
      <c r="B1" s="14"/>
      <c r="C1" s="444" t="s">
        <v>841</v>
      </c>
      <c r="D1" s="444"/>
      <c r="E1" s="444"/>
      <c r="F1" s="444"/>
      <c r="G1" s="444"/>
      <c r="H1" s="444"/>
      <c r="I1" s="444"/>
      <c r="J1" s="444"/>
      <c r="K1" s="444"/>
      <c r="L1" s="444"/>
      <c r="M1" s="444"/>
      <c r="N1" s="444"/>
      <c r="O1" s="444"/>
      <c r="P1" s="444"/>
      <c r="Q1" s="444"/>
      <c r="R1" s="444"/>
      <c r="S1" s="444"/>
      <c r="T1" s="444"/>
      <c r="U1" s="444"/>
      <c r="V1" s="444"/>
      <c r="W1" s="444"/>
    </row>
    <row r="2" spans="1:23" ht="40.700000000000003" customHeight="1" x14ac:dyDescent="0.25">
      <c r="B2" s="14"/>
    </row>
    <row r="3" spans="1:23" ht="16.5" customHeight="1" x14ac:dyDescent="0.25">
      <c r="A3" s="384" t="s">
        <v>838</v>
      </c>
      <c r="B3" s="16"/>
      <c r="E3" s="461" t="s">
        <v>843</v>
      </c>
      <c r="F3" s="461"/>
      <c r="G3" s="461"/>
      <c r="H3" s="461"/>
      <c r="I3" s="461"/>
      <c r="J3" s="461"/>
      <c r="K3" s="461"/>
      <c r="L3" s="461"/>
      <c r="M3" s="461"/>
      <c r="N3" s="461"/>
      <c r="O3" s="461"/>
      <c r="P3" s="461"/>
      <c r="Q3" s="461"/>
      <c r="R3" s="461"/>
      <c r="S3" s="42"/>
    </row>
    <row r="4" spans="1:23" ht="14.25" customHeight="1" x14ac:dyDescent="0.25">
      <c r="A4" s="15" t="s">
        <v>840</v>
      </c>
      <c r="B4" s="16"/>
      <c r="E4" s="461"/>
      <c r="F4" s="461"/>
      <c r="G4" s="461"/>
      <c r="H4" s="461"/>
      <c r="I4" s="461"/>
      <c r="J4" s="461"/>
      <c r="K4" s="461"/>
      <c r="L4" s="461"/>
      <c r="M4" s="461"/>
      <c r="N4" s="461"/>
      <c r="O4" s="461"/>
      <c r="P4" s="461"/>
      <c r="Q4" s="461"/>
      <c r="R4" s="461"/>
    </row>
    <row r="5" spans="1:23" ht="16.5" customHeight="1" x14ac:dyDescent="0.25">
      <c r="A5" s="17" t="s">
        <v>829</v>
      </c>
      <c r="B5" s="16"/>
      <c r="E5" s="43" t="s">
        <v>844</v>
      </c>
      <c r="G5" s="44"/>
      <c r="H5" s="44"/>
      <c r="I5" s="44"/>
      <c r="J5" s="44"/>
      <c r="K5" s="44"/>
      <c r="L5" s="44"/>
      <c r="M5" s="44"/>
      <c r="N5" s="44"/>
      <c r="O5" s="44"/>
      <c r="P5" s="45"/>
      <c r="Q5" s="45"/>
      <c r="R5" s="44"/>
    </row>
    <row r="6" spans="1:23" ht="16.5" customHeight="1" x14ac:dyDescent="0.25">
      <c r="A6" s="17" t="s">
        <v>830</v>
      </c>
      <c r="B6" s="16"/>
      <c r="C6" s="46"/>
      <c r="D6" s="13"/>
      <c r="E6" s="43" t="s">
        <v>845</v>
      </c>
    </row>
    <row r="7" spans="1:23" ht="16.5" customHeight="1" x14ac:dyDescent="0.25">
      <c r="A7" s="17" t="s">
        <v>831</v>
      </c>
      <c r="B7" s="16"/>
      <c r="E7" s="462" t="s">
        <v>846</v>
      </c>
      <c r="F7" s="462"/>
      <c r="G7" s="462"/>
      <c r="H7" s="462"/>
      <c r="I7" s="462"/>
      <c r="J7" s="462"/>
      <c r="K7" s="462"/>
      <c r="L7" s="462"/>
      <c r="M7" s="462"/>
      <c r="N7" s="462"/>
      <c r="O7" s="462"/>
      <c r="P7" s="462"/>
      <c r="Q7" s="462"/>
      <c r="R7" s="462"/>
      <c r="S7" s="42"/>
    </row>
    <row r="8" spans="1:23" ht="16.5" customHeight="1" x14ac:dyDescent="0.25">
      <c r="A8" s="17" t="s">
        <v>832</v>
      </c>
      <c r="E8" s="462"/>
      <c r="F8" s="462"/>
      <c r="G8" s="462"/>
      <c r="H8" s="462"/>
      <c r="I8" s="462"/>
      <c r="J8" s="462"/>
      <c r="K8" s="462"/>
      <c r="L8" s="462"/>
      <c r="M8" s="462"/>
      <c r="N8" s="462"/>
      <c r="O8" s="462"/>
      <c r="P8" s="462"/>
      <c r="Q8" s="462"/>
      <c r="R8" s="462"/>
      <c r="S8" s="42"/>
    </row>
    <row r="9" spans="1:23" ht="16.5" hidden="1" customHeight="1" x14ac:dyDescent="0.25">
      <c r="A9" s="47"/>
      <c r="F9" s="27"/>
      <c r="G9" s="27"/>
      <c r="H9" s="27"/>
      <c r="I9" s="27"/>
      <c r="J9" s="27"/>
      <c r="K9" s="27"/>
      <c r="L9" s="27"/>
      <c r="M9" s="27"/>
      <c r="N9" s="27"/>
      <c r="O9" s="27"/>
      <c r="P9" s="48"/>
      <c r="Q9" s="48"/>
      <c r="R9" s="27"/>
      <c r="S9" s="27"/>
    </row>
    <row r="10" spans="1:23" ht="16.5" hidden="1" customHeight="1" x14ac:dyDescent="0.25">
      <c r="A10" s="47"/>
      <c r="S10" s="27"/>
    </row>
    <row r="11" spans="1:23" ht="16.5" customHeight="1" x14ac:dyDescent="0.25">
      <c r="A11" s="17" t="s">
        <v>833</v>
      </c>
      <c r="E11" s="463"/>
      <c r="F11" s="463"/>
      <c r="G11" s="463"/>
      <c r="H11" s="463"/>
      <c r="I11" s="463"/>
      <c r="J11" s="463"/>
      <c r="K11" s="463"/>
      <c r="L11" s="463"/>
      <c r="M11" s="463"/>
      <c r="N11" s="463"/>
      <c r="O11" s="463"/>
      <c r="P11" s="463"/>
      <c r="Q11" s="463"/>
      <c r="R11" s="463"/>
      <c r="S11" s="27"/>
    </row>
    <row r="12" spans="1:23" s="41" customFormat="1" ht="20.100000000000001" customHeight="1" x14ac:dyDescent="0.25">
      <c r="A12" s="17" t="s">
        <v>834</v>
      </c>
      <c r="B12" s="13"/>
      <c r="C12" s="13"/>
      <c r="D12" s="470" t="s">
        <v>847</v>
      </c>
      <c r="E12" s="470"/>
      <c r="F12" s="470"/>
      <c r="G12" s="470"/>
      <c r="H12" s="470"/>
      <c r="I12" s="470"/>
      <c r="J12" s="470"/>
      <c r="K12" s="470"/>
      <c r="L12" s="470"/>
      <c r="M12" s="470"/>
      <c r="N12" s="470"/>
      <c r="O12" s="470"/>
      <c r="P12" s="470"/>
      <c r="Q12" s="470"/>
      <c r="R12" s="470"/>
      <c r="S12" s="470"/>
      <c r="T12" s="470"/>
      <c r="U12" s="470"/>
      <c r="V12" s="470"/>
    </row>
    <row r="13" spans="1:23" ht="17.25" customHeight="1" x14ac:dyDescent="0.3">
      <c r="A13" s="17" t="s">
        <v>835</v>
      </c>
      <c r="E13" s="49"/>
      <c r="F13" s="27"/>
      <c r="G13" s="27"/>
      <c r="H13" s="27"/>
      <c r="I13" s="27"/>
      <c r="J13" s="27"/>
      <c r="K13" s="27"/>
      <c r="L13" s="27"/>
      <c r="M13" s="27"/>
      <c r="N13" s="27"/>
      <c r="O13" s="27"/>
      <c r="P13" s="48"/>
      <c r="Q13" s="48"/>
      <c r="R13" s="27"/>
      <c r="S13" s="27"/>
    </row>
    <row r="14" spans="1:23" s="50" customFormat="1" ht="32.1" customHeight="1" x14ac:dyDescent="0.25">
      <c r="A14" s="17"/>
      <c r="B14" s="13"/>
      <c r="C14" s="13"/>
      <c r="E14" s="467" t="s">
        <v>848</v>
      </c>
      <c r="F14" s="468"/>
      <c r="G14" s="468"/>
      <c r="H14" s="468"/>
      <c r="I14" s="468"/>
      <c r="J14" s="468"/>
      <c r="K14" s="468"/>
      <c r="L14" s="468"/>
      <c r="M14" s="468"/>
      <c r="N14" s="468"/>
      <c r="O14" s="469"/>
      <c r="P14" s="26"/>
      <c r="Q14" s="26"/>
      <c r="R14" s="26"/>
    </row>
    <row r="15" spans="1:23" ht="35.25" customHeight="1" x14ac:dyDescent="0.25">
      <c r="A15" s="17"/>
      <c r="E15" s="464" t="s">
        <v>849</v>
      </c>
      <c r="F15" s="464" t="s">
        <v>1009</v>
      </c>
      <c r="G15" s="464" t="s">
        <v>850</v>
      </c>
      <c r="H15" s="464" t="s">
        <v>851</v>
      </c>
      <c r="I15" s="465" t="s">
        <v>852</v>
      </c>
      <c r="J15" s="465" t="s">
        <v>853</v>
      </c>
      <c r="K15" s="465" t="s">
        <v>854</v>
      </c>
      <c r="L15" s="465" t="s">
        <v>855</v>
      </c>
      <c r="M15" s="465" t="s">
        <v>856</v>
      </c>
      <c r="N15" s="465" t="s">
        <v>857</v>
      </c>
      <c r="O15" s="458" t="s">
        <v>858</v>
      </c>
    </row>
    <row r="16" spans="1:23" ht="18.75" customHeight="1" x14ac:dyDescent="0.25">
      <c r="A16" s="17"/>
      <c r="E16" s="464"/>
      <c r="F16" s="464"/>
      <c r="G16" s="464"/>
      <c r="H16" s="464"/>
      <c r="I16" s="466"/>
      <c r="J16" s="466"/>
      <c r="K16" s="466"/>
      <c r="L16" s="466"/>
      <c r="M16" s="466"/>
      <c r="N16" s="466"/>
      <c r="O16" s="460"/>
    </row>
    <row r="17" spans="1:18" s="50" customFormat="1" ht="13.5" hidden="1" customHeight="1" x14ac:dyDescent="0.25">
      <c r="A17" s="41"/>
      <c r="B17" s="13"/>
      <c r="C17" s="13"/>
      <c r="D17" s="41"/>
      <c r="E17" s="52" t="s">
        <v>849</v>
      </c>
      <c r="G17" s="53"/>
      <c r="H17" s="54"/>
      <c r="I17" s="54"/>
      <c r="J17" s="54"/>
      <c r="K17" s="54"/>
      <c r="L17" s="54"/>
      <c r="M17" s="52" t="s">
        <v>18</v>
      </c>
      <c r="N17" s="52" t="s">
        <v>19</v>
      </c>
      <c r="O17" s="54"/>
      <c r="P17" s="26"/>
      <c r="Q17" s="26"/>
      <c r="R17" s="26"/>
    </row>
    <row r="18" spans="1:18" x14ac:dyDescent="0.25">
      <c r="A18" s="47"/>
      <c r="E18" s="415"/>
      <c r="F18" s="395" t="str">
        <f>IF(E18="","",IF(VLOOKUP(E18,'0_Dades generals organització'!$H$53:$L$300,3,FALSE)="","",VLOOKUP(E18,'0_Dades generals organització'!$H$53:$L$300,3,FALSE)))</f>
        <v/>
      </c>
      <c r="G18" s="416"/>
      <c r="H18" s="417"/>
      <c r="I18" s="56" t="str">
        <f>IF(OR(ISNUMBER(VLOOKUP(G18,Dades!$D$118:$N$142,Dades!$F$2-2009,0)),ISTEXT(VLOOKUP(G18,Dades!$D$118:$N$142,Dades!$F$2-2009,0))),VLOOKUP(G18,Dades!$D$118:$N$142,Dades!$F$2-2009,0),"")</f>
        <v/>
      </c>
      <c r="J18" s="381" t="str">
        <f>IF(OR(ISNUMBER(VLOOKUP(G18,Dades!$Y$118:$AE$142,6,0)),ISTEXT(VLOOKUP(G18,Dades!$Y$118:$AE$142,6,0))),VLOOKUP(G18,Dades!$Y$118:$AE$142,6,0),"")</f>
        <v/>
      </c>
      <c r="K18" s="378" t="str">
        <f>IF(OR(ISNUMBER(VLOOKUP(G18,Dades!$Y$118:$AE$142,7,0)),ISTEXT(VLOOKUP(G18,Dades!$Y$118:$AE$142,7,0))),VLOOKUP(G18,Dades!$Y$118:$AE$142,7,0),"")</f>
        <v/>
      </c>
      <c r="L18" s="418"/>
      <c r="M18" s="57" t="str">
        <f t="shared" ref="M18:M39" si="0">IF(OR(F18="Sí",F18=""),N18,"")</f>
        <v/>
      </c>
      <c r="N18" s="57" t="str">
        <f>IF(AND(ISNUMBER(H18),ISNUMBER(L18)),H18*L18,IF(AND(ISNUMBER(H18),ISNUMBER(I18)),H18*(I18+J18*Dades!$D$657+K18*Dades!$D$658),""))</f>
        <v/>
      </c>
      <c r="O18" s="58">
        <f>SUM(M18:M39)</f>
        <v>0</v>
      </c>
    </row>
    <row r="19" spans="1:18" ht="15.75" customHeight="1" x14ac:dyDescent="0.25">
      <c r="A19" s="47"/>
      <c r="E19" s="415"/>
      <c r="F19" s="395" t="str">
        <f>IF(E19="","",IF(VLOOKUP(E19,'0_Dades generals organització'!$H$53:$L$300,3,FALSE)="","",VLOOKUP(E19,'0_Dades generals organització'!$H$53:$L$300,3,FALSE)))</f>
        <v/>
      </c>
      <c r="G19" s="416"/>
      <c r="H19" s="417"/>
      <c r="I19" s="56" t="str">
        <f>IF(OR(ISNUMBER(VLOOKUP(G19,Dades!$D$118:$N$142,Dades!$F$2-2009,0)),ISTEXT(VLOOKUP(G19,Dades!$D$118:$N$142,Dades!$F$2-2009,0))),VLOOKUP(G19,Dades!$D$118:$N$142,Dades!$F$2-2009,0),"")</f>
        <v/>
      </c>
      <c r="J19" s="381" t="str">
        <f>IF(OR(ISNUMBER(VLOOKUP(G19,Dades!$Y$118:$AE$142,6,0)),ISTEXT(VLOOKUP(G19,Dades!$Y$118:$AE$142,6,0))),VLOOKUP(G19,Dades!$Y$118:$AE$142,6,0),"")</f>
        <v/>
      </c>
      <c r="K19" s="378" t="str">
        <f>IF(OR(ISNUMBER(VLOOKUP(G19,Dades!$Y$118:$AE$142,7,0)),ISTEXT(VLOOKUP(G19,Dades!$Y$118:$AE$142,7,0))),VLOOKUP(G19,Dades!$Y$118:$AE$142,7,0),"")</f>
        <v/>
      </c>
      <c r="L19" s="418"/>
      <c r="M19" s="57" t="str">
        <f t="shared" si="0"/>
        <v/>
      </c>
      <c r="N19" s="57" t="str">
        <f>IF(AND(ISNUMBER(H19),ISNUMBER(L19)),H19*L19,IF(AND(ISNUMBER(H19),ISNUMBER(I19)),H19*(I19+J19*Dades!$D$657+K19*Dades!$D$658),""))</f>
        <v/>
      </c>
      <c r="O19" s="458" t="s">
        <v>859</v>
      </c>
    </row>
    <row r="20" spans="1:18" ht="15.75" customHeight="1" x14ac:dyDescent="0.25">
      <c r="A20" s="47"/>
      <c r="E20" s="415"/>
      <c r="F20" s="395" t="str">
        <f>IF(E20="","",IF(VLOOKUP(E20,'0_Dades generals organització'!$H$53:$L$300,3,FALSE)="","",VLOOKUP(E20,'0_Dades generals organització'!$H$53:$L$300,3,FALSE)))</f>
        <v/>
      </c>
      <c r="G20" s="416"/>
      <c r="H20" s="417"/>
      <c r="I20" s="56" t="str">
        <f>IF(OR(ISNUMBER(VLOOKUP(G20,Dades!$D$118:$N$142,Dades!$F$2-2009,0)),ISTEXT(VLOOKUP(G20,Dades!$D$118:$N$142,Dades!$F$2-2009,0))),VLOOKUP(G20,Dades!$D$118:$N$142,Dades!$F$2-2009,0),"")</f>
        <v/>
      </c>
      <c r="J20" s="381" t="str">
        <f>IF(OR(ISNUMBER(VLOOKUP(G20,Dades!$Y$118:$AE$142,6,0)),ISTEXT(VLOOKUP(G20,Dades!$Y$118:$AE$142,6,0))),VLOOKUP(G20,Dades!$Y$118:$AE$142,6,0),"")</f>
        <v/>
      </c>
      <c r="K20" s="378" t="str">
        <f>IF(OR(ISNUMBER(VLOOKUP(G20,Dades!$Y$118:$AE$142,7,0)),ISTEXT(VLOOKUP(G20,Dades!$Y$118:$AE$142,7,0))),VLOOKUP(G20,Dades!$Y$118:$AE$142,7,0),"")</f>
        <v/>
      </c>
      <c r="L20" s="418"/>
      <c r="M20" s="57" t="str">
        <f t="shared" si="0"/>
        <v/>
      </c>
      <c r="N20" s="57" t="str">
        <f>IF(AND(ISNUMBER(H20),ISNUMBER(L20)),H20*L20,IF(AND(ISNUMBER(H20),ISNUMBER(I20)),H20*(I20+J20*Dades!$D$657+K20*Dades!$D$658),""))</f>
        <v/>
      </c>
      <c r="O20" s="459"/>
    </row>
    <row r="21" spans="1:18" ht="15.75" customHeight="1" x14ac:dyDescent="0.25">
      <c r="A21" s="47"/>
      <c r="E21" s="415"/>
      <c r="F21" s="395" t="str">
        <f>IF(E21="","",IF(VLOOKUP(E21,'0_Dades generals organització'!$H$53:$L$300,3,FALSE)="","",VLOOKUP(E21,'0_Dades generals organització'!$H$53:$L$300,3,FALSE)))</f>
        <v/>
      </c>
      <c r="G21" s="416"/>
      <c r="H21" s="417"/>
      <c r="I21" s="56" t="str">
        <f>IF(OR(ISNUMBER(VLOOKUP(G21,Dades!$D$118:$N$142,Dades!$F$2-2009,0)),ISTEXT(VLOOKUP(G21,Dades!$D$118:$N$142,Dades!$F$2-2009,0))),VLOOKUP(G21,Dades!$D$118:$N$142,Dades!$F$2-2009,0),"")</f>
        <v/>
      </c>
      <c r="J21" s="381" t="str">
        <f>IF(OR(ISNUMBER(VLOOKUP(G21,Dades!$Y$118:$AE$142,6,0)),ISTEXT(VLOOKUP(G21,Dades!$Y$118:$AE$142,6,0))),VLOOKUP(G21,Dades!$Y$118:$AE$142,6,0),"")</f>
        <v/>
      </c>
      <c r="K21" s="378" t="str">
        <f>IF(OR(ISNUMBER(VLOOKUP(G21,Dades!$Y$118:$AE$142,7,0)),ISTEXT(VLOOKUP(G21,Dades!$Y$118:$AE$142,7,0))),VLOOKUP(G21,Dades!$Y$118:$AE$142,7,0),"")</f>
        <v/>
      </c>
      <c r="L21" s="418"/>
      <c r="M21" s="57" t="str">
        <f t="shared" si="0"/>
        <v/>
      </c>
      <c r="N21" s="57" t="str">
        <f>IF(AND(ISNUMBER(H21),ISNUMBER(L21)),H21*L21,IF(AND(ISNUMBER(H21),ISNUMBER(I21)),H21*(I21+J21*Dades!$D$657+K21*Dades!$D$658),""))</f>
        <v/>
      </c>
      <c r="O21" s="460"/>
    </row>
    <row r="22" spans="1:18" ht="15.75" customHeight="1" x14ac:dyDescent="0.25">
      <c r="A22" s="47"/>
      <c r="E22" s="415"/>
      <c r="F22" s="395" t="str">
        <f>IF(E22="","",IF(VLOOKUP(E22,'0_Dades generals organització'!$H$53:$L$300,3,FALSE)="","",VLOOKUP(E22,'0_Dades generals organització'!$H$53:$L$300,3,FALSE)))</f>
        <v/>
      </c>
      <c r="G22" s="416"/>
      <c r="H22" s="417"/>
      <c r="I22" s="56" t="str">
        <f>IF(OR(ISNUMBER(VLOOKUP(G22,Dades!$D$118:$N$142,Dades!$F$2-2009,0)),ISTEXT(VLOOKUP(G22,Dades!$D$118:$N$142,Dades!$F$2-2009,0))),VLOOKUP(G22,Dades!$D$118:$N$142,Dades!$F$2-2009,0),"")</f>
        <v/>
      </c>
      <c r="J22" s="381" t="str">
        <f>IF(OR(ISNUMBER(VLOOKUP(G22,Dades!$Y$118:$AE$142,6,0)),ISTEXT(VLOOKUP(G22,Dades!$Y$118:$AE$142,6,0))),VLOOKUP(G22,Dades!$Y$118:$AE$142,6,0),"")</f>
        <v/>
      </c>
      <c r="K22" s="378" t="str">
        <f>IF(OR(ISNUMBER(VLOOKUP(G22,Dades!$Y$118:$AE$142,7,0)),ISTEXT(VLOOKUP(G22,Dades!$Y$118:$AE$142,7,0))),VLOOKUP(G22,Dades!$Y$118:$AE$142,7,0),"")</f>
        <v/>
      </c>
      <c r="L22" s="418"/>
      <c r="M22" s="57" t="str">
        <f t="shared" si="0"/>
        <v/>
      </c>
      <c r="N22" s="57" t="str">
        <f>IF(AND(ISNUMBER(H22),ISNUMBER(L22)),H22*L22,IF(AND(ISNUMBER(H22),ISNUMBER(I22)),H22*(I22+J22*Dades!$D$657+K22*Dades!$D$658),""))</f>
        <v/>
      </c>
      <c r="O22" s="58">
        <f>SUM(N18:N39)</f>
        <v>0</v>
      </c>
    </row>
    <row r="23" spans="1:18" ht="15.75" customHeight="1" x14ac:dyDescent="0.25">
      <c r="A23" s="47"/>
      <c r="E23" s="415"/>
      <c r="F23" s="395" t="str">
        <f>IF(E23="","",IF(VLOOKUP(E23,'0_Dades generals organització'!$H$53:$L$300,3,FALSE)="","",VLOOKUP(E23,'0_Dades generals organització'!$H$53:$L$300,3,FALSE)))</f>
        <v/>
      </c>
      <c r="G23" s="416"/>
      <c r="H23" s="417"/>
      <c r="I23" s="56" t="str">
        <f>IF(OR(ISNUMBER(VLOOKUP(G23,Dades!$D$118:$N$142,Dades!$F$2-2009,0)),ISTEXT(VLOOKUP(G23,Dades!$D$118:$N$142,Dades!$F$2-2009,0))),VLOOKUP(G23,Dades!$D$118:$N$142,Dades!$F$2-2009,0),"")</f>
        <v/>
      </c>
      <c r="J23" s="381" t="str">
        <f>IF(OR(ISNUMBER(VLOOKUP(G23,Dades!$Y$118:$AE$142,6,0)),ISTEXT(VLOOKUP(G23,Dades!$Y$118:$AE$142,6,0))),VLOOKUP(G23,Dades!$Y$118:$AE$142,6,0),"")</f>
        <v/>
      </c>
      <c r="K23" s="378" t="str">
        <f>IF(OR(ISNUMBER(VLOOKUP(G23,Dades!$Y$118:$AE$142,7,0)),ISTEXT(VLOOKUP(G23,Dades!$Y$118:$AE$142,7,0))),VLOOKUP(G23,Dades!$Y$118:$AE$142,7,0),"")</f>
        <v/>
      </c>
      <c r="L23" s="418"/>
      <c r="M23" s="57" t="str">
        <f t="shared" si="0"/>
        <v/>
      </c>
      <c r="N23" s="57" t="str">
        <f>IF(AND(ISNUMBER(H23),ISNUMBER(L23)),H23*L23,IF(AND(ISNUMBER(H23),ISNUMBER(I23)),H23*(I23+J23*Dades!$D$657+K23*Dades!$D$658),""))</f>
        <v/>
      </c>
    </row>
    <row r="24" spans="1:18" ht="15.75" customHeight="1" x14ac:dyDescent="0.25">
      <c r="A24" s="47"/>
      <c r="E24" s="415"/>
      <c r="F24" s="395" t="str">
        <f>IF(E24="","",IF(VLOOKUP(E24,'0_Dades generals organització'!$H$53:$L$300,3,FALSE)="","",VLOOKUP(E24,'0_Dades generals organització'!$H$53:$L$300,3,FALSE)))</f>
        <v/>
      </c>
      <c r="G24" s="416"/>
      <c r="H24" s="417"/>
      <c r="I24" s="56" t="str">
        <f>IF(OR(ISNUMBER(VLOOKUP(G24,Dades!$D$118:$N$142,Dades!$F$2-2009,0)),ISTEXT(VLOOKUP(G24,Dades!$D$118:$N$142,Dades!$F$2-2009,0))),VLOOKUP(G24,Dades!$D$118:$N$142,Dades!$F$2-2009,0),"")</f>
        <v/>
      </c>
      <c r="J24" s="381" t="str">
        <f>IF(OR(ISNUMBER(VLOOKUP(G24,Dades!$Y$118:$AE$142,6,0)),ISTEXT(VLOOKUP(G24,Dades!$Y$118:$AE$142,6,0))),VLOOKUP(G24,Dades!$Y$118:$AE$142,6,0),"")</f>
        <v/>
      </c>
      <c r="K24" s="378" t="str">
        <f>IF(OR(ISNUMBER(VLOOKUP(G24,Dades!$Y$118:$AE$142,7,0)),ISTEXT(VLOOKUP(G24,Dades!$Y$118:$AE$142,7,0))),VLOOKUP(G24,Dades!$Y$118:$AE$142,7,0),"")</f>
        <v/>
      </c>
      <c r="L24" s="418"/>
      <c r="M24" s="57" t="str">
        <f t="shared" si="0"/>
        <v/>
      </c>
      <c r="N24" s="57" t="str">
        <f>IF(AND(ISNUMBER(H24),ISNUMBER(L24)),H24*L24,IF(AND(ISNUMBER(H24),ISNUMBER(I24)),H24*(I24+J24*Dades!$D$657+K24*Dades!$D$658),""))</f>
        <v/>
      </c>
    </row>
    <row r="25" spans="1:18" ht="15.75" customHeight="1" x14ac:dyDescent="0.25">
      <c r="A25" s="47"/>
      <c r="E25" s="415"/>
      <c r="F25" s="395" t="str">
        <f>IF(E25="","",IF(VLOOKUP(E25,'0_Dades generals organització'!$H$53:$L$300,3,FALSE)="","",VLOOKUP(E25,'0_Dades generals organització'!$H$53:$L$300,3,FALSE)))</f>
        <v/>
      </c>
      <c r="G25" s="416"/>
      <c r="H25" s="417"/>
      <c r="I25" s="56" t="str">
        <f>IF(OR(ISNUMBER(VLOOKUP(G25,Dades!$D$118:$N$142,Dades!$F$2-2009,0)),ISTEXT(VLOOKUP(G25,Dades!$D$118:$N$142,Dades!$F$2-2009,0))),VLOOKUP(G25,Dades!$D$118:$N$142,Dades!$F$2-2009,0),"")</f>
        <v/>
      </c>
      <c r="J25" s="381" t="str">
        <f>IF(OR(ISNUMBER(VLOOKUP(G25,Dades!$Y$118:$AE$142,6,0)),ISTEXT(VLOOKUP(G25,Dades!$Y$118:$AE$142,6,0))),VLOOKUP(G25,Dades!$Y$118:$AE$142,6,0),"")</f>
        <v/>
      </c>
      <c r="K25" s="378" t="str">
        <f>IF(OR(ISNUMBER(VLOOKUP(G25,Dades!$Y$118:$AE$142,7,0)),ISTEXT(VLOOKUP(G25,Dades!$Y$118:$AE$142,7,0))),VLOOKUP(G25,Dades!$Y$118:$AE$142,7,0),"")</f>
        <v/>
      </c>
      <c r="L25" s="418"/>
      <c r="M25" s="57" t="str">
        <f t="shared" si="0"/>
        <v/>
      </c>
      <c r="N25" s="57" t="str">
        <f>IF(AND(ISNUMBER(H25),ISNUMBER(L25)),H25*L25,IF(AND(ISNUMBER(H25),ISNUMBER(I25)),H25*(I25+J25*Dades!$D$657+K25*Dades!$D$658),""))</f>
        <v/>
      </c>
    </row>
    <row r="26" spans="1:18" ht="15.75" customHeight="1" x14ac:dyDescent="0.25">
      <c r="A26" s="47"/>
      <c r="E26" s="415"/>
      <c r="F26" s="395" t="str">
        <f>IF(E26="","",IF(VLOOKUP(E26,'0_Dades generals organització'!$H$53:$L$300,3,FALSE)="","",VLOOKUP(E26,'0_Dades generals organització'!$H$53:$L$300,3,FALSE)))</f>
        <v/>
      </c>
      <c r="G26" s="416"/>
      <c r="H26" s="417"/>
      <c r="I26" s="56" t="str">
        <f>IF(OR(ISNUMBER(VLOOKUP(G26,Dades!$D$118:$N$142,Dades!$F$2-2009,0)),ISTEXT(VLOOKUP(G26,Dades!$D$118:$N$142,Dades!$F$2-2009,0))),VLOOKUP(G26,Dades!$D$118:$N$142,Dades!$F$2-2009,0),"")</f>
        <v/>
      </c>
      <c r="J26" s="381" t="str">
        <f>IF(OR(ISNUMBER(VLOOKUP(G26,Dades!$Y$118:$AE$142,6,0)),ISTEXT(VLOOKUP(G26,Dades!$Y$118:$AE$142,6,0))),VLOOKUP(G26,Dades!$Y$118:$AE$142,6,0),"")</f>
        <v/>
      </c>
      <c r="K26" s="378" t="str">
        <f>IF(OR(ISNUMBER(VLOOKUP(G26,Dades!$Y$118:$AE$142,7,0)),ISTEXT(VLOOKUP(G26,Dades!$Y$118:$AE$142,7,0))),VLOOKUP(G26,Dades!$Y$118:$AE$142,7,0),"")</f>
        <v/>
      </c>
      <c r="L26" s="418"/>
      <c r="M26" s="57" t="str">
        <f t="shared" si="0"/>
        <v/>
      </c>
      <c r="N26" s="57" t="str">
        <f>IF(AND(ISNUMBER(H26),ISNUMBER(L26)),H26*L26,IF(AND(ISNUMBER(H26),ISNUMBER(I26)),H26*(I26+J26*Dades!$D$657+K26*Dades!$D$658),""))</f>
        <v/>
      </c>
    </row>
    <row r="27" spans="1:18" ht="15.75" customHeight="1" x14ac:dyDescent="0.25">
      <c r="A27" s="47"/>
      <c r="E27" s="415"/>
      <c r="F27" s="395" t="str">
        <f>IF(E27="","",IF(VLOOKUP(E27,'0_Dades generals organització'!$H$53:$L$300,3,FALSE)="","",VLOOKUP(E27,'0_Dades generals organització'!$H$53:$L$300,3,FALSE)))</f>
        <v/>
      </c>
      <c r="G27" s="416"/>
      <c r="H27" s="417"/>
      <c r="I27" s="56" t="str">
        <f>IF(OR(ISNUMBER(VLOOKUP(G27,Dades!$D$118:$N$142,Dades!$F$2-2009,0)),ISTEXT(VLOOKUP(G27,Dades!$D$118:$N$142,Dades!$F$2-2009,0))),VLOOKUP(G27,Dades!$D$118:$N$142,Dades!$F$2-2009,0),"")</f>
        <v/>
      </c>
      <c r="J27" s="381" t="str">
        <f>IF(OR(ISNUMBER(VLOOKUP(G27,Dades!$Y$118:$AE$142,6,0)),ISTEXT(VLOOKUP(G27,Dades!$Y$118:$AE$142,6,0))),VLOOKUP(G27,Dades!$Y$118:$AE$142,6,0),"")</f>
        <v/>
      </c>
      <c r="K27" s="378" t="str">
        <f>IF(OR(ISNUMBER(VLOOKUP(G27,Dades!$Y$118:$AE$142,7,0)),ISTEXT(VLOOKUP(G27,Dades!$Y$118:$AE$142,7,0))),VLOOKUP(G27,Dades!$Y$118:$AE$142,7,0),"")</f>
        <v/>
      </c>
      <c r="L27" s="418"/>
      <c r="M27" s="57" t="str">
        <f t="shared" si="0"/>
        <v/>
      </c>
      <c r="N27" s="57" t="str">
        <f>IF(AND(ISNUMBER(H27),ISNUMBER(L27)),H27*L27,IF(AND(ISNUMBER(H27),ISNUMBER(I27)),H27*(I27+J27*Dades!$D$657+K27*Dades!$D$658),""))</f>
        <v/>
      </c>
    </row>
    <row r="28" spans="1:18" ht="15.75" customHeight="1" x14ac:dyDescent="0.25">
      <c r="A28" s="47"/>
      <c r="E28" s="415"/>
      <c r="F28" s="395" t="str">
        <f>IF(E28="","",IF(VLOOKUP(E28,'0_Dades generals organització'!$H$53:$L$300,3,FALSE)="","",VLOOKUP(E28,'0_Dades generals organització'!$H$53:$L$300,3,FALSE)))</f>
        <v/>
      </c>
      <c r="G28" s="416"/>
      <c r="H28" s="417"/>
      <c r="I28" s="56" t="str">
        <f>IF(OR(ISNUMBER(VLOOKUP(G28,Dades!$D$118:$N$142,Dades!$F$2-2009,0)),ISTEXT(VLOOKUP(G28,Dades!$D$118:$N$142,Dades!$F$2-2009,0))),VLOOKUP(G28,Dades!$D$118:$N$142,Dades!$F$2-2009,0),"")</f>
        <v/>
      </c>
      <c r="J28" s="381" t="str">
        <f>IF(OR(ISNUMBER(VLOOKUP(G28,Dades!$Y$118:$AE$142,6,0)),ISTEXT(VLOOKUP(G28,Dades!$Y$118:$AE$142,6,0))),VLOOKUP(G28,Dades!$Y$118:$AE$142,6,0),"")</f>
        <v/>
      </c>
      <c r="K28" s="378" t="str">
        <f>IF(OR(ISNUMBER(VLOOKUP(G28,Dades!$Y$118:$AE$142,7,0)),ISTEXT(VLOOKUP(G28,Dades!$Y$118:$AE$142,7,0))),VLOOKUP(G28,Dades!$Y$118:$AE$142,7,0),"")</f>
        <v/>
      </c>
      <c r="L28" s="418"/>
      <c r="M28" s="57" t="str">
        <f t="shared" si="0"/>
        <v/>
      </c>
      <c r="N28" s="57" t="str">
        <f>IF(AND(ISNUMBER(H28),ISNUMBER(L28)),H28*L28,IF(AND(ISNUMBER(H28),ISNUMBER(I28)),H28*(I28+J28*Dades!$D$657+K28*Dades!$D$658),""))</f>
        <v/>
      </c>
    </row>
    <row r="29" spans="1:18" ht="15.75" customHeight="1" x14ac:dyDescent="0.25">
      <c r="A29" s="47"/>
      <c r="E29" s="415"/>
      <c r="F29" s="395" t="str">
        <f>IF(E29="","",IF(VLOOKUP(E29,'0_Dades generals organització'!$H$53:$L$300,3,FALSE)="","",VLOOKUP(E29,'0_Dades generals organització'!$H$53:$L$300,3,FALSE)))</f>
        <v/>
      </c>
      <c r="G29" s="416"/>
      <c r="H29" s="417"/>
      <c r="I29" s="56" t="str">
        <f>IF(OR(ISNUMBER(VLOOKUP(G29,Dades!$D$118:$N$142,Dades!$F$2-2009,0)),ISTEXT(VLOOKUP(G29,Dades!$D$118:$N$142,Dades!$F$2-2009,0))),VLOOKUP(G29,Dades!$D$118:$N$142,Dades!$F$2-2009,0),"")</f>
        <v/>
      </c>
      <c r="J29" s="381" t="str">
        <f>IF(OR(ISNUMBER(VLOOKUP(G29,Dades!$Y$118:$AE$142,6,0)),ISTEXT(VLOOKUP(G29,Dades!$Y$118:$AE$142,6,0))),VLOOKUP(G29,Dades!$Y$118:$AE$142,6,0),"")</f>
        <v/>
      </c>
      <c r="K29" s="378" t="str">
        <f>IF(OR(ISNUMBER(VLOOKUP(G29,Dades!$Y$118:$AE$142,7,0)),ISTEXT(VLOOKUP(G29,Dades!$Y$118:$AE$142,7,0))),VLOOKUP(G29,Dades!$Y$118:$AE$142,7,0),"")</f>
        <v/>
      </c>
      <c r="L29" s="418"/>
      <c r="M29" s="57" t="str">
        <f t="shared" si="0"/>
        <v/>
      </c>
      <c r="N29" s="57" t="str">
        <f>IF(AND(ISNUMBER(H29),ISNUMBER(L29)),H29*L29,IF(AND(ISNUMBER(H29),ISNUMBER(I29)),H29*(I29+J29*Dades!$D$657+K29*Dades!$D$658),""))</f>
        <v/>
      </c>
    </row>
    <row r="30" spans="1:18" ht="15.75" customHeight="1" x14ac:dyDescent="0.25">
      <c r="A30" s="47"/>
      <c r="E30" s="415"/>
      <c r="F30" s="395" t="str">
        <f>IF(E30="","",IF(VLOOKUP(E30,'0_Dades generals organització'!$H$53:$L$300,3,FALSE)="","",VLOOKUP(E30,'0_Dades generals organització'!$H$53:$L$300,3,FALSE)))</f>
        <v/>
      </c>
      <c r="G30" s="416"/>
      <c r="H30" s="417"/>
      <c r="I30" s="56" t="str">
        <f>IF(OR(ISNUMBER(VLOOKUP(G30,Dades!$D$118:$N$142,Dades!$F$2-2009,0)),ISTEXT(VLOOKUP(G30,Dades!$D$118:$N$142,Dades!$F$2-2009,0))),VLOOKUP(G30,Dades!$D$118:$N$142,Dades!$F$2-2009,0),"")</f>
        <v/>
      </c>
      <c r="J30" s="381" t="str">
        <f>IF(OR(ISNUMBER(VLOOKUP(G30,Dades!$Y$118:$AE$142,6,0)),ISTEXT(VLOOKUP(G30,Dades!$Y$118:$AE$142,6,0))),VLOOKUP(G30,Dades!$Y$118:$AE$142,6,0),"")</f>
        <v/>
      </c>
      <c r="K30" s="378" t="str">
        <f>IF(OR(ISNUMBER(VLOOKUP(G30,Dades!$Y$118:$AE$142,7,0)),ISTEXT(VLOOKUP(G30,Dades!$Y$118:$AE$142,7,0))),VLOOKUP(G30,Dades!$Y$118:$AE$142,7,0),"")</f>
        <v/>
      </c>
      <c r="L30" s="418"/>
      <c r="M30" s="57" t="str">
        <f t="shared" si="0"/>
        <v/>
      </c>
      <c r="N30" s="57" t="str">
        <f>IF(AND(ISNUMBER(H30),ISNUMBER(L30)),H30*L30,IF(AND(ISNUMBER(H30),ISNUMBER(I30)),H30*(I30+J30*Dades!$D$657+K30*Dades!$D$658),""))</f>
        <v/>
      </c>
    </row>
    <row r="31" spans="1:18" ht="15.75" customHeight="1" x14ac:dyDescent="0.25">
      <c r="A31" s="47"/>
      <c r="E31" s="415"/>
      <c r="F31" s="395" t="str">
        <f>IF(E31="","",IF(VLOOKUP(E31,'0_Dades generals organització'!$H$53:$L$300,3,FALSE)="","",VLOOKUP(E31,'0_Dades generals organització'!$H$53:$L$300,3,FALSE)))</f>
        <v/>
      </c>
      <c r="G31" s="416"/>
      <c r="H31" s="417"/>
      <c r="I31" s="56" t="str">
        <f>IF(OR(ISNUMBER(VLOOKUP(G31,Dades!$D$118:$N$142,Dades!$F$2-2009,0)),ISTEXT(VLOOKUP(G31,Dades!$D$118:$N$142,Dades!$F$2-2009,0))),VLOOKUP(G31,Dades!$D$118:$N$142,Dades!$F$2-2009,0),"")</f>
        <v/>
      </c>
      <c r="J31" s="381" t="str">
        <f>IF(OR(ISNUMBER(VLOOKUP(G31,Dades!$Y$118:$AE$142,6,0)),ISTEXT(VLOOKUP(G31,Dades!$Y$118:$AE$142,6,0))),VLOOKUP(G31,Dades!$Y$118:$AE$142,6,0),"")</f>
        <v/>
      </c>
      <c r="K31" s="378" t="str">
        <f>IF(OR(ISNUMBER(VLOOKUP(G31,Dades!$Y$118:$AE$142,7,0)),ISTEXT(VLOOKUP(G31,Dades!$Y$118:$AE$142,7,0))),VLOOKUP(G31,Dades!$Y$118:$AE$142,7,0),"")</f>
        <v/>
      </c>
      <c r="L31" s="418"/>
      <c r="M31" s="57" t="str">
        <f t="shared" si="0"/>
        <v/>
      </c>
      <c r="N31" s="57" t="str">
        <f>IF(AND(ISNUMBER(H31),ISNUMBER(L31)),H31*L31,IF(AND(ISNUMBER(H31),ISNUMBER(I31)),H31*(I31+J31*Dades!$D$657+K31*Dades!$D$658),""))</f>
        <v/>
      </c>
    </row>
    <row r="32" spans="1:18" ht="15.75" customHeight="1" x14ac:dyDescent="0.25">
      <c r="A32" s="47"/>
      <c r="E32" s="415"/>
      <c r="F32" s="395" t="str">
        <f>IF(E32="","",IF(VLOOKUP(E32,'0_Dades generals organització'!$H$53:$L$300,3,FALSE)="","",VLOOKUP(E32,'0_Dades generals organització'!$H$53:$L$300,3,FALSE)))</f>
        <v/>
      </c>
      <c r="G32" s="416"/>
      <c r="H32" s="417"/>
      <c r="I32" s="56" t="str">
        <f>IF(OR(ISNUMBER(VLOOKUP(G32,Dades!$D$118:$N$142,Dades!$F$2-2009,0)),ISTEXT(VLOOKUP(G32,Dades!$D$118:$N$142,Dades!$F$2-2009,0))),VLOOKUP(G32,Dades!$D$118:$N$142,Dades!$F$2-2009,0),"")</f>
        <v/>
      </c>
      <c r="J32" s="381" t="str">
        <f>IF(OR(ISNUMBER(VLOOKUP(G32,Dades!$Y$118:$AE$142,6,0)),ISTEXT(VLOOKUP(G32,Dades!$Y$118:$AE$142,6,0))),VLOOKUP(G32,Dades!$Y$118:$AE$142,6,0),"")</f>
        <v/>
      </c>
      <c r="K32" s="378" t="str">
        <f>IF(OR(ISNUMBER(VLOOKUP(G32,Dades!$Y$118:$AE$142,7,0)),ISTEXT(VLOOKUP(G32,Dades!$Y$118:$AE$142,7,0))),VLOOKUP(G32,Dades!$Y$118:$AE$142,7,0),"")</f>
        <v/>
      </c>
      <c r="L32" s="418"/>
      <c r="M32" s="57" t="str">
        <f t="shared" si="0"/>
        <v/>
      </c>
      <c r="N32" s="57" t="str">
        <f>IF(AND(ISNUMBER(H32),ISNUMBER(L32)),H32*L32,IF(AND(ISNUMBER(H32),ISNUMBER(I32)),H32*(I32+J32*Dades!$D$657+K32*Dades!$D$658),""))</f>
        <v/>
      </c>
    </row>
    <row r="33" spans="1:22" ht="15.75" customHeight="1" x14ac:dyDescent="0.25">
      <c r="A33" s="47"/>
      <c r="E33" s="415"/>
      <c r="F33" s="395" t="str">
        <f>IF(E33="","",IF(VLOOKUP(E33,'0_Dades generals organització'!$H$53:$L$300,3,FALSE)="","",VLOOKUP(E33,'0_Dades generals organització'!$H$53:$L$300,3,FALSE)))</f>
        <v/>
      </c>
      <c r="G33" s="416"/>
      <c r="H33" s="417"/>
      <c r="I33" s="56" t="str">
        <f>IF(OR(ISNUMBER(VLOOKUP(G33,Dades!$D$118:$N$142,Dades!$F$2-2009,0)),ISTEXT(VLOOKUP(G33,Dades!$D$118:$N$142,Dades!$F$2-2009,0))),VLOOKUP(G33,Dades!$D$118:$N$142,Dades!$F$2-2009,0),"")</f>
        <v/>
      </c>
      <c r="J33" s="381" t="str">
        <f>IF(OR(ISNUMBER(VLOOKUP(G33,Dades!$Y$118:$AE$142,6,0)),ISTEXT(VLOOKUP(G33,Dades!$Y$118:$AE$142,6,0))),VLOOKUP(G33,Dades!$Y$118:$AE$142,6,0),"")</f>
        <v/>
      </c>
      <c r="K33" s="378" t="str">
        <f>IF(OR(ISNUMBER(VLOOKUP(G33,Dades!$Y$118:$AE$142,7,0)),ISTEXT(VLOOKUP(G33,Dades!$Y$118:$AE$142,7,0))),VLOOKUP(G33,Dades!$Y$118:$AE$142,7,0),"")</f>
        <v/>
      </c>
      <c r="L33" s="418"/>
      <c r="M33" s="57" t="str">
        <f t="shared" si="0"/>
        <v/>
      </c>
      <c r="N33" s="57" t="str">
        <f>IF(AND(ISNUMBER(H33),ISNUMBER(L33)),H33*L33,IF(AND(ISNUMBER(H33),ISNUMBER(I33)),H33*(I33+J33*Dades!$D$657+K33*Dades!$D$658),""))</f>
        <v/>
      </c>
    </row>
    <row r="34" spans="1:22" ht="15.75" customHeight="1" x14ac:dyDescent="0.25">
      <c r="A34" s="47"/>
      <c r="E34" s="415"/>
      <c r="F34" s="395" t="str">
        <f>IF(E34="","",IF(VLOOKUP(E34,'0_Dades generals organització'!$H$53:$L$300,3,FALSE)="","",VLOOKUP(E34,'0_Dades generals organització'!$H$53:$L$300,3,FALSE)))</f>
        <v/>
      </c>
      <c r="G34" s="416"/>
      <c r="H34" s="417"/>
      <c r="I34" s="56" t="str">
        <f>IF(OR(ISNUMBER(VLOOKUP(G34,Dades!$D$118:$N$142,Dades!$F$2-2009,0)),ISTEXT(VLOOKUP(G34,Dades!$D$118:$N$142,Dades!$F$2-2009,0))),VLOOKUP(G34,Dades!$D$118:$N$142,Dades!$F$2-2009,0),"")</f>
        <v/>
      </c>
      <c r="J34" s="381" t="str">
        <f>IF(OR(ISNUMBER(VLOOKUP(G34,Dades!$Y$118:$AE$142,6,0)),ISTEXT(VLOOKUP(G34,Dades!$Y$118:$AE$142,6,0))),VLOOKUP(G34,Dades!$Y$118:$AE$142,6,0),"")</f>
        <v/>
      </c>
      <c r="K34" s="378" t="str">
        <f>IF(OR(ISNUMBER(VLOOKUP(G34,Dades!$Y$118:$AE$142,7,0)),ISTEXT(VLOOKUP(G34,Dades!$Y$118:$AE$142,7,0))),VLOOKUP(G34,Dades!$Y$118:$AE$142,7,0),"")</f>
        <v/>
      </c>
      <c r="L34" s="418"/>
      <c r="M34" s="57" t="str">
        <f t="shared" si="0"/>
        <v/>
      </c>
      <c r="N34" s="57" t="str">
        <f>IF(AND(ISNUMBER(H34),ISNUMBER(L34)),H34*L34,IF(AND(ISNUMBER(H34),ISNUMBER(I34)),H34*(I34+J34*Dades!$D$657+K34*Dades!$D$658),""))</f>
        <v/>
      </c>
    </row>
    <row r="35" spans="1:22" ht="15.75" customHeight="1" x14ac:dyDescent="0.25">
      <c r="A35" s="47"/>
      <c r="E35" s="415"/>
      <c r="F35" s="395" t="str">
        <f>IF(E35="","",IF(VLOOKUP(E35,'0_Dades generals organització'!$H$53:$L$300,3,FALSE)="","",VLOOKUP(E35,'0_Dades generals organització'!$H$53:$L$300,3,FALSE)))</f>
        <v/>
      </c>
      <c r="G35" s="416"/>
      <c r="H35" s="417"/>
      <c r="I35" s="56" t="str">
        <f>IF(OR(ISNUMBER(VLOOKUP(G35,Dades!$D$118:$N$142,Dades!$F$2-2009,0)),ISTEXT(VLOOKUP(G35,Dades!$D$118:$N$142,Dades!$F$2-2009,0))),VLOOKUP(G35,Dades!$D$118:$N$142,Dades!$F$2-2009,0),"")</f>
        <v/>
      </c>
      <c r="J35" s="381" t="str">
        <f>IF(OR(ISNUMBER(VLOOKUP(G35,Dades!$Y$118:$AE$142,6,0)),ISTEXT(VLOOKUP(G35,Dades!$Y$118:$AE$142,6,0))),VLOOKUP(G35,Dades!$Y$118:$AE$142,6,0),"")</f>
        <v/>
      </c>
      <c r="K35" s="378" t="str">
        <f>IF(OR(ISNUMBER(VLOOKUP(G35,Dades!$Y$118:$AE$142,7,0)),ISTEXT(VLOOKUP(G35,Dades!$Y$118:$AE$142,7,0))),VLOOKUP(G35,Dades!$Y$118:$AE$142,7,0),"")</f>
        <v/>
      </c>
      <c r="L35" s="418"/>
      <c r="M35" s="57" t="str">
        <f t="shared" si="0"/>
        <v/>
      </c>
      <c r="N35" s="57" t="str">
        <f>IF(AND(ISNUMBER(H35),ISNUMBER(L35)),H35*L35,IF(AND(ISNUMBER(H35),ISNUMBER(I35)),H35*(I35+J35*Dades!$D$657+K35*Dades!$D$658),""))</f>
        <v/>
      </c>
    </row>
    <row r="36" spans="1:22" ht="15.75" customHeight="1" x14ac:dyDescent="0.25">
      <c r="A36" s="47"/>
      <c r="E36" s="415"/>
      <c r="F36" s="395" t="str">
        <f>IF(E36="","",IF(VLOOKUP(E36,'0_Dades generals organització'!$H$53:$L$300,3,FALSE)="","",VLOOKUP(E36,'0_Dades generals organització'!$H$53:$L$300,3,FALSE)))</f>
        <v/>
      </c>
      <c r="G36" s="416"/>
      <c r="H36" s="417"/>
      <c r="I36" s="56" t="str">
        <f>IF(OR(ISNUMBER(VLOOKUP(G36,Dades!$D$118:$N$142,Dades!$F$2-2009,0)),ISTEXT(VLOOKUP(G36,Dades!$D$118:$N$142,Dades!$F$2-2009,0))),VLOOKUP(G36,Dades!$D$118:$N$142,Dades!$F$2-2009,0),"")</f>
        <v/>
      </c>
      <c r="J36" s="381" t="str">
        <f>IF(OR(ISNUMBER(VLOOKUP(G36,Dades!$Y$118:$AE$142,6,0)),ISTEXT(VLOOKUP(G36,Dades!$Y$118:$AE$142,6,0))),VLOOKUP(G36,Dades!$Y$118:$AE$142,6,0),"")</f>
        <v/>
      </c>
      <c r="K36" s="378" t="str">
        <f>IF(OR(ISNUMBER(VLOOKUP(G36,Dades!$Y$118:$AE$142,7,0)),ISTEXT(VLOOKUP(G36,Dades!$Y$118:$AE$142,7,0))),VLOOKUP(G36,Dades!$Y$118:$AE$142,7,0),"")</f>
        <v/>
      </c>
      <c r="L36" s="418"/>
      <c r="M36" s="57" t="str">
        <f t="shared" si="0"/>
        <v/>
      </c>
      <c r="N36" s="57" t="str">
        <f>IF(AND(ISNUMBER(H36),ISNUMBER(L36)),H36*L36,IF(AND(ISNUMBER(H36),ISNUMBER(I36)),H36*(I36+J36*Dades!$D$657+K36*Dades!$D$658),""))</f>
        <v/>
      </c>
    </row>
    <row r="37" spans="1:22" ht="15.75" customHeight="1" x14ac:dyDescent="0.25">
      <c r="A37" s="47"/>
      <c r="E37" s="415"/>
      <c r="F37" s="395" t="str">
        <f>IF(E37="","",IF(VLOOKUP(E37,'0_Dades generals organització'!$H$53:$L$300,3,FALSE)="","",VLOOKUP(E37,'0_Dades generals organització'!$H$53:$L$300,3,FALSE)))</f>
        <v/>
      </c>
      <c r="G37" s="416"/>
      <c r="H37" s="417"/>
      <c r="I37" s="56" t="str">
        <f>IF(OR(ISNUMBER(VLOOKUP(G37,Dades!$D$118:$N$142,Dades!$F$2-2009,0)),ISTEXT(VLOOKUP(G37,Dades!$D$118:$N$142,Dades!$F$2-2009,0))),VLOOKUP(G37,Dades!$D$118:$N$142,Dades!$F$2-2009,0),"")</f>
        <v/>
      </c>
      <c r="J37" s="381" t="str">
        <f>IF(OR(ISNUMBER(VLOOKUP(G37,Dades!$Y$118:$AE$142,6,0)),ISTEXT(VLOOKUP(G37,Dades!$Y$118:$AE$142,6,0))),VLOOKUP(G37,Dades!$Y$118:$AE$142,6,0),"")</f>
        <v/>
      </c>
      <c r="K37" s="378" t="str">
        <f>IF(OR(ISNUMBER(VLOOKUP(G37,Dades!$Y$118:$AE$142,7,0)),ISTEXT(VLOOKUP(G37,Dades!$Y$118:$AE$142,7,0))),VLOOKUP(G37,Dades!$Y$118:$AE$142,7,0),"")</f>
        <v/>
      </c>
      <c r="L37" s="418"/>
      <c r="M37" s="57" t="str">
        <f t="shared" si="0"/>
        <v/>
      </c>
      <c r="N37" s="57" t="str">
        <f>IF(AND(ISNUMBER(H37),ISNUMBER(L37)),H37*L37,IF(AND(ISNUMBER(H37),ISNUMBER(I37)),H37*(I37+J37*Dades!$D$657+K37*Dades!$D$658),""))</f>
        <v/>
      </c>
    </row>
    <row r="38" spans="1:22" ht="15.75" customHeight="1" x14ac:dyDescent="0.25">
      <c r="A38" s="47"/>
      <c r="E38" s="415"/>
      <c r="F38" s="395" t="str">
        <f>IF(E38="","",IF(VLOOKUP(E38,'0_Dades generals organització'!$H$53:$L$300,3,FALSE)="","",VLOOKUP(E38,'0_Dades generals organització'!$H$53:$L$300,3,FALSE)))</f>
        <v/>
      </c>
      <c r="G38" s="416"/>
      <c r="H38" s="417"/>
      <c r="I38" s="56" t="str">
        <f>IF(OR(ISNUMBER(VLOOKUP(G38,Dades!$D$118:$N$142,Dades!$F$2-2009,0)),ISTEXT(VLOOKUP(G38,Dades!$D$118:$N$142,Dades!$F$2-2009,0))),VLOOKUP(G38,Dades!$D$118:$N$142,Dades!$F$2-2009,0),"")</f>
        <v/>
      </c>
      <c r="J38" s="381" t="str">
        <f>IF(OR(ISNUMBER(VLOOKUP(G38,Dades!$Y$118:$AE$142,6,0)),ISTEXT(VLOOKUP(G38,Dades!$Y$118:$AE$142,6,0))),VLOOKUP(G38,Dades!$Y$118:$AE$142,6,0),"")</f>
        <v/>
      </c>
      <c r="K38" s="378" t="str">
        <f>IF(OR(ISNUMBER(VLOOKUP(G38,Dades!$Y$118:$AE$142,7,0)),ISTEXT(VLOOKUP(G38,Dades!$Y$118:$AE$142,7,0))),VLOOKUP(G38,Dades!$Y$118:$AE$142,7,0),"")</f>
        <v/>
      </c>
      <c r="L38" s="418"/>
      <c r="M38" s="57" t="str">
        <f t="shared" si="0"/>
        <v/>
      </c>
      <c r="N38" s="57" t="str">
        <f>IF(AND(ISNUMBER(H38),ISNUMBER(L38)),H38*L38,IF(AND(ISNUMBER(H38),ISNUMBER(I38)),H38*(I38+J38*Dades!$D$657+K38*Dades!$D$658),""))</f>
        <v/>
      </c>
    </row>
    <row r="39" spans="1:22" x14ac:dyDescent="0.25">
      <c r="A39" s="47"/>
      <c r="E39" s="415"/>
      <c r="F39" s="395" t="str">
        <f>IF(E39="","",IF(VLOOKUP(E39,'0_Dades generals organització'!$H$53:$L$300,3,FALSE)="","",VLOOKUP(E39,'0_Dades generals organització'!$H$53:$L$300,3,FALSE)))</f>
        <v/>
      </c>
      <c r="G39" s="416"/>
      <c r="H39" s="417"/>
      <c r="I39" s="56" t="str">
        <f>IF(OR(ISNUMBER(VLOOKUP(G39,Dades!$D$118:$N$142,Dades!$F$2-2009,0)),ISTEXT(VLOOKUP(G39,Dades!$D$118:$N$142,Dades!$F$2-2009,0))),VLOOKUP(G39,Dades!$D$118:$N$142,Dades!$F$2-2009,0),"")</f>
        <v/>
      </c>
      <c r="J39" s="381" t="str">
        <f>IF(OR(ISNUMBER(VLOOKUP(G39,Dades!$Y$118:$AE$142,6,0)),ISTEXT(VLOOKUP(G39,Dades!$Y$118:$AE$142,6,0))),VLOOKUP(G39,Dades!$Y$118:$AE$142,6,0),"")</f>
        <v/>
      </c>
      <c r="K39" s="378" t="str">
        <f>IF(OR(ISNUMBER(VLOOKUP(G39,Dades!$Y$118:$AE$142,7,0)),ISTEXT(VLOOKUP(G39,Dades!$Y$118:$AE$142,7,0))),VLOOKUP(G39,Dades!$Y$118:$AE$142,7,0),"")</f>
        <v/>
      </c>
      <c r="L39" s="418"/>
      <c r="M39" s="57" t="str">
        <f t="shared" si="0"/>
        <v/>
      </c>
      <c r="N39" s="57" t="str">
        <f>IF(AND(ISNUMBER(H39),ISNUMBER(L39)),H39*L39,IF(AND(ISNUMBER(H39),ISNUMBER(I39)),H39*(I39+J39*Dades!$D$657+K39*Dades!$D$658),""))</f>
        <v/>
      </c>
    </row>
    <row r="40" spans="1:22" ht="31.5" customHeight="1" x14ac:dyDescent="0.25">
      <c r="A40" s="47"/>
      <c r="C40" s="26"/>
      <c r="E40" s="476" t="s">
        <v>860</v>
      </c>
      <c r="F40" s="476"/>
      <c r="G40" s="476"/>
      <c r="H40" s="476"/>
      <c r="I40" s="476"/>
      <c r="J40" s="476"/>
      <c r="K40" s="476"/>
      <c r="L40" s="476"/>
      <c r="M40" s="476"/>
      <c r="N40" s="476"/>
      <c r="O40" s="476"/>
      <c r="P40" s="476"/>
      <c r="Q40" s="476"/>
      <c r="R40" s="476"/>
    </row>
    <row r="41" spans="1:22" s="41" customFormat="1" ht="18.75" customHeight="1" x14ac:dyDescent="0.25">
      <c r="B41" s="13"/>
      <c r="C41" s="13"/>
      <c r="D41" s="470" t="s">
        <v>861</v>
      </c>
      <c r="E41" s="470"/>
      <c r="F41" s="470"/>
      <c r="G41" s="470"/>
      <c r="H41" s="470"/>
      <c r="I41" s="470"/>
      <c r="J41" s="470"/>
      <c r="K41" s="470"/>
      <c r="L41" s="470"/>
      <c r="M41" s="470"/>
      <c r="N41" s="470"/>
      <c r="O41" s="470"/>
      <c r="P41" s="470"/>
      <c r="Q41" s="470"/>
      <c r="R41" s="470"/>
      <c r="S41" s="470"/>
      <c r="T41" s="470"/>
      <c r="U41" s="470"/>
      <c r="V41" s="470"/>
    </row>
    <row r="42" spans="1:22" ht="9.9499999999999993" customHeight="1" x14ac:dyDescent="0.3">
      <c r="D42" s="59"/>
      <c r="E42" s="59"/>
      <c r="F42" s="59"/>
      <c r="G42" s="59"/>
      <c r="H42" s="59"/>
      <c r="I42" s="59"/>
      <c r="J42" s="59"/>
      <c r="K42" s="59"/>
      <c r="L42" s="59"/>
      <c r="M42" s="59"/>
      <c r="N42" s="59"/>
      <c r="O42" s="59"/>
      <c r="P42" s="59"/>
      <c r="Q42" s="59"/>
      <c r="R42" s="59"/>
      <c r="S42" s="59"/>
    </row>
    <row r="43" spans="1:22" s="50" customFormat="1" ht="32.1" customHeight="1" x14ac:dyDescent="0.25">
      <c r="A43" s="41"/>
      <c r="B43" s="13"/>
      <c r="C43" s="13"/>
      <c r="D43" s="41"/>
      <c r="E43" s="467" t="s">
        <v>862</v>
      </c>
      <c r="F43" s="468"/>
      <c r="G43" s="468"/>
      <c r="H43" s="468"/>
      <c r="I43" s="468"/>
      <c r="J43" s="468"/>
      <c r="K43" s="468"/>
      <c r="L43" s="468"/>
      <c r="M43" s="468"/>
      <c r="N43" s="468"/>
      <c r="O43" s="468"/>
      <c r="P43" s="468"/>
      <c r="Q43" s="468"/>
      <c r="R43" s="468"/>
      <c r="S43" s="468"/>
      <c r="T43" s="468"/>
      <c r="U43" s="468"/>
      <c r="V43" s="469"/>
    </row>
    <row r="44" spans="1:22" s="50" customFormat="1" ht="24.75" customHeight="1" x14ac:dyDescent="0.25">
      <c r="A44" s="41"/>
      <c r="B44" s="13"/>
      <c r="C44" s="13"/>
      <c r="D44" s="41"/>
      <c r="E44" s="465" t="s">
        <v>995</v>
      </c>
      <c r="F44" s="465" t="s">
        <v>1009</v>
      </c>
      <c r="G44" s="479" t="s">
        <v>863</v>
      </c>
      <c r="H44" s="480"/>
      <c r="I44" s="480"/>
      <c r="J44" s="480"/>
      <c r="K44" s="480"/>
      <c r="L44" s="480"/>
      <c r="M44" s="480"/>
      <c r="N44" s="480"/>
      <c r="O44" s="481"/>
      <c r="P44" s="479" t="s">
        <v>869</v>
      </c>
      <c r="Q44" s="480"/>
      <c r="R44" s="480"/>
      <c r="S44" s="480"/>
      <c r="T44" s="480"/>
      <c r="U44" s="481"/>
      <c r="V44" s="465" t="s">
        <v>870</v>
      </c>
    </row>
    <row r="45" spans="1:22" s="50" customFormat="1" ht="33.75" customHeight="1" x14ac:dyDescent="0.25">
      <c r="A45" s="41"/>
      <c r="B45" s="13"/>
      <c r="C45" s="13"/>
      <c r="D45" s="41"/>
      <c r="E45" s="471"/>
      <c r="F45" s="471"/>
      <c r="G45" s="465" t="s">
        <v>864</v>
      </c>
      <c r="H45" s="465" t="s">
        <v>866</v>
      </c>
      <c r="I45" s="465" t="s">
        <v>851</v>
      </c>
      <c r="J45" s="465" t="s">
        <v>852</v>
      </c>
      <c r="K45" s="465" t="s">
        <v>853</v>
      </c>
      <c r="L45" s="465" t="s">
        <v>854</v>
      </c>
      <c r="M45" s="465" t="s">
        <v>855</v>
      </c>
      <c r="N45" s="465" t="s">
        <v>867</v>
      </c>
      <c r="O45" s="465" t="s">
        <v>868</v>
      </c>
      <c r="P45" s="472" t="s">
        <v>22</v>
      </c>
      <c r="Q45" s="473"/>
      <c r="R45" s="465" t="s">
        <v>23</v>
      </c>
      <c r="S45" s="465" t="s">
        <v>24</v>
      </c>
      <c r="T45" s="465" t="s">
        <v>763</v>
      </c>
      <c r="U45" s="465" t="s">
        <v>764</v>
      </c>
      <c r="V45" s="471"/>
    </row>
    <row r="46" spans="1:22" s="50" customFormat="1" ht="12.75" customHeight="1" x14ac:dyDescent="0.25">
      <c r="A46" s="41"/>
      <c r="B46" s="13"/>
      <c r="C46" s="13"/>
      <c r="D46" s="41"/>
      <c r="E46" s="466"/>
      <c r="F46" s="466"/>
      <c r="G46" s="466"/>
      <c r="H46" s="466"/>
      <c r="I46" s="466"/>
      <c r="J46" s="466"/>
      <c r="K46" s="466"/>
      <c r="L46" s="466"/>
      <c r="M46" s="466"/>
      <c r="N46" s="466"/>
      <c r="O46" s="466"/>
      <c r="P46" s="474"/>
      <c r="Q46" s="475"/>
      <c r="R46" s="466"/>
      <c r="S46" s="466"/>
      <c r="T46" s="466"/>
      <c r="U46" s="466"/>
      <c r="V46" s="466"/>
    </row>
    <row r="47" spans="1:22" s="59" customFormat="1" ht="9" hidden="1" customHeight="1" x14ac:dyDescent="0.3">
      <c r="A47" s="41"/>
      <c r="B47" s="13"/>
      <c r="C47" s="13"/>
      <c r="D47" s="41"/>
      <c r="E47" s="52" t="s">
        <v>849</v>
      </c>
      <c r="F47" s="50"/>
      <c r="G47" s="53"/>
      <c r="H47" s="54"/>
      <c r="I47" s="54"/>
      <c r="J47" s="54"/>
      <c r="K47" s="54"/>
      <c r="L47" s="54"/>
      <c r="M47" s="54"/>
      <c r="N47" s="52" t="s">
        <v>999</v>
      </c>
      <c r="O47" s="52" t="s">
        <v>998</v>
      </c>
      <c r="P47" s="477"/>
      <c r="Q47" s="478"/>
      <c r="R47" s="54"/>
      <c r="S47" s="54"/>
      <c r="T47" s="52" t="s">
        <v>997</v>
      </c>
      <c r="U47" s="52" t="s">
        <v>996</v>
      </c>
      <c r="V47" s="52"/>
    </row>
    <row r="48" spans="1:22" s="59" customFormat="1" ht="15" customHeight="1" x14ac:dyDescent="0.3">
      <c r="A48" s="41"/>
      <c r="B48" s="13"/>
      <c r="C48" s="13"/>
      <c r="D48" s="41"/>
      <c r="E48" s="415"/>
      <c r="F48" s="395" t="str">
        <f>IF(E48="","",IF(VLOOKUP(E48,'0_Dades generals organització'!$H$53:$L$300,3,FALSE)="","",VLOOKUP(E48,'0_Dades generals organització'!$H$53:$L$300,3,FALSE)))</f>
        <v/>
      </c>
      <c r="G48" s="419"/>
      <c r="H48" s="416"/>
      <c r="I48" s="420"/>
      <c r="J48" s="56" t="str">
        <f>IF(OR(ISNUMBER(VLOOKUP(H48,Dades!$D$148:$N$166,Dades!$F$2-2009,0)),ISTEXT(VLOOKUP(H48,Dades!$D$148:$N$166,Dades!$F$2-2009,0))),VLOOKUP(H48,Dades!$D$148:$N$166,Dades!$F$2-2009,0),"")</f>
        <v/>
      </c>
      <c r="K48" s="381" t="str">
        <f>IF(OR(ISNUMBER(VLOOKUP(H48,Dades!$Y$148:$AE$166,6,0)),ISTEXT(VLOOKUP(H48,Dades!$Y$148:$AE$166,6,0))),VLOOKUP(H48,Dades!$Y$148:$AE$166,6,0),"")</f>
        <v/>
      </c>
      <c r="L48" s="381" t="str">
        <f>IF(OR(ISNUMBER(VLOOKUP(H48,Dades!$Y$148:$AE$166,7,0)),ISTEXT(VLOOKUP(H48,Dades!$Y$148:$AE$166,7,0))),VLOOKUP(H48,Dades!$Y$148:$AE$166,7,0),"")</f>
        <v/>
      </c>
      <c r="M48" s="418"/>
      <c r="N48" s="57" t="str">
        <f t="shared" ref="N48:N67" si="1">IF(OR(F48="Sí",F48=""),O48,"")</f>
        <v/>
      </c>
      <c r="O48" s="57" t="str">
        <f>IF(AND(ISNUMBER(I48),ISNUMBER(M48)),I48*M48,IF(AND(ISNUMBER(I48),ISNUMBER(J48)),I48*(J48+K48*Dades!$D$657+L48*Dades!$D$658),""))</f>
        <v/>
      </c>
      <c r="P48" s="482"/>
      <c r="Q48" s="483"/>
      <c r="R48" s="420"/>
      <c r="S48" s="421"/>
      <c r="T48" s="57" t="str">
        <f t="shared" ref="T48:T67" si="2">IF(OR(F48="Sí",F48=""),U48,"")</f>
        <v/>
      </c>
      <c r="U48" s="57" t="str">
        <f>IF(ISNUMBER(O48),"",IF(IF(ISNUMBER(R48),(R48*S48*Dades!$AP$146)/1000,0)=0,"",IF(ISNUMBER(R48),(R48*S48*Dades!$AP$146)/1000,0)))</f>
        <v/>
      </c>
      <c r="V48" s="58">
        <f>N68+T68</f>
        <v>0</v>
      </c>
    </row>
    <row r="49" spans="1:22" s="59" customFormat="1" ht="15" customHeight="1" x14ac:dyDescent="0.3">
      <c r="A49" s="41"/>
      <c r="B49" s="13"/>
      <c r="C49" s="13"/>
      <c r="D49" s="41"/>
      <c r="E49" s="415"/>
      <c r="F49" s="395" t="str">
        <f>IF(E49="","",IF(VLOOKUP(E49,'0_Dades generals organització'!$H$53:$L$300,3,FALSE)="","",VLOOKUP(E49,'0_Dades generals organització'!$H$53:$L$300,3,FALSE)))</f>
        <v/>
      </c>
      <c r="G49" s="419"/>
      <c r="H49" s="416"/>
      <c r="I49" s="420"/>
      <c r="J49" s="56" t="str">
        <f>IF(OR(ISNUMBER(VLOOKUP(H49,Dades!$D$148:$N$166,Dades!$F$2-2009,0)),ISTEXT(VLOOKUP(H49,Dades!$D$148:$N$166,Dades!$F$2-2009,0))),VLOOKUP(H49,Dades!$D$148:$N$166,Dades!$F$2-2009,0),"")</f>
        <v/>
      </c>
      <c r="K49" s="381" t="str">
        <f>IF(OR(ISNUMBER(VLOOKUP(H49,Dades!$Y$148:$AE$166,6,0)),ISTEXT(VLOOKUP(H49,Dades!$Y$148:$AE$166,6,0))),VLOOKUP(H49,Dades!$Y$148:$AE$166,6,0),"")</f>
        <v/>
      </c>
      <c r="L49" s="381" t="str">
        <f>IF(OR(ISNUMBER(VLOOKUP(H49,Dades!$Y$148:$AE$166,7,0)),ISTEXT(VLOOKUP(H49,Dades!$Y$148:$AE$166,7,0))),VLOOKUP(H49,Dades!$Y$148:$AE$166,7,0),"")</f>
        <v/>
      </c>
      <c r="M49" s="418"/>
      <c r="N49" s="57" t="str">
        <f t="shared" si="1"/>
        <v/>
      </c>
      <c r="O49" s="57" t="str">
        <f>IF(AND(ISNUMBER(I49),ISNUMBER(M49)),I49*M49,IF(AND(ISNUMBER(I49),ISNUMBER(J49)),I49*(J49+K49*Dades!$D$657+L49*Dades!$D$658),""))</f>
        <v/>
      </c>
      <c r="P49" s="482"/>
      <c r="Q49" s="483"/>
      <c r="R49" s="420"/>
      <c r="S49" s="421"/>
      <c r="T49" s="57" t="str">
        <f t="shared" si="2"/>
        <v/>
      </c>
      <c r="U49" s="57" t="str">
        <f>IF(ISNUMBER(O49),"",IF(IF(ISNUMBER(R49),(R49*S49*Dades!$AP$146)/1000,0)=0,"",IF(ISNUMBER(R49),(R49*S49*Dades!$AP$146)/1000,0)))</f>
        <v/>
      </c>
      <c r="V49" s="465" t="s">
        <v>871</v>
      </c>
    </row>
    <row r="50" spans="1:22" s="59" customFormat="1" ht="15" customHeight="1" x14ac:dyDescent="0.3">
      <c r="A50" s="41"/>
      <c r="B50" s="13"/>
      <c r="C50" s="13"/>
      <c r="D50" s="41"/>
      <c r="E50" s="415"/>
      <c r="F50" s="395" t="str">
        <f>IF(E50="","",IF(VLOOKUP(E50,'0_Dades generals organització'!$H$53:$L$300,3,FALSE)="","",VLOOKUP(E50,'0_Dades generals organització'!$H$53:$L$300,3,FALSE)))</f>
        <v/>
      </c>
      <c r="G50" s="419"/>
      <c r="H50" s="416"/>
      <c r="I50" s="420"/>
      <c r="J50" s="56" t="str">
        <f>IF(OR(ISNUMBER(VLOOKUP(H50,Dades!$D$148:$N$166,Dades!$F$2-2009,0)),ISTEXT(VLOOKUP(H50,Dades!$D$148:$N$166,Dades!$F$2-2009,0))),VLOOKUP(H50,Dades!$D$148:$N$166,Dades!$F$2-2009,0),"")</f>
        <v/>
      </c>
      <c r="K50" s="381" t="str">
        <f>IF(OR(ISNUMBER(VLOOKUP(H50,Dades!$Y$148:$AE$166,6,0)),ISTEXT(VLOOKUP(H50,Dades!$Y$148:$AE$166,6,0))),VLOOKUP(H50,Dades!$Y$148:$AE$166,6,0),"")</f>
        <v/>
      </c>
      <c r="L50" s="381" t="str">
        <f>IF(OR(ISNUMBER(VLOOKUP(H50,Dades!$Y$148:$AE$166,7,0)),ISTEXT(VLOOKUP(H50,Dades!$Y$148:$AE$166,7,0))),VLOOKUP(H50,Dades!$Y$148:$AE$166,7,0),"")</f>
        <v/>
      </c>
      <c r="M50" s="418"/>
      <c r="N50" s="57" t="str">
        <f t="shared" si="1"/>
        <v/>
      </c>
      <c r="O50" s="57" t="str">
        <f>IF(AND(ISNUMBER(I50),ISNUMBER(M50)),I50*M50,IF(AND(ISNUMBER(I50),ISNUMBER(J50)),I50*(J50+K50*Dades!$D$657+L50*Dades!$D$658),""))</f>
        <v/>
      </c>
      <c r="P50" s="482"/>
      <c r="Q50" s="483"/>
      <c r="R50" s="420"/>
      <c r="S50" s="421"/>
      <c r="T50" s="57" t="str">
        <f t="shared" si="2"/>
        <v/>
      </c>
      <c r="U50" s="57" t="str">
        <f>IF(ISNUMBER(O50),"",IF(IF(ISNUMBER(R50),(R50*S50*Dades!$AP$146)/1000,0)=0,"",IF(ISNUMBER(R50),(R50*S50*Dades!$AP$146)/1000,0)))</f>
        <v/>
      </c>
      <c r="V50" s="471"/>
    </row>
    <row r="51" spans="1:22" s="59" customFormat="1" ht="15" customHeight="1" x14ac:dyDescent="0.3">
      <c r="A51" s="41"/>
      <c r="B51" s="13"/>
      <c r="C51" s="13"/>
      <c r="D51" s="41"/>
      <c r="E51" s="415"/>
      <c r="F51" s="395" t="str">
        <f>IF(E51="","",IF(VLOOKUP(E51,'0_Dades generals organització'!$H$53:$L$300,3,FALSE)="","",VLOOKUP(E51,'0_Dades generals organització'!$H$53:$L$300,3,FALSE)))</f>
        <v/>
      </c>
      <c r="G51" s="419"/>
      <c r="H51" s="416"/>
      <c r="I51" s="420"/>
      <c r="J51" s="56" t="str">
        <f>IF(OR(ISNUMBER(VLOOKUP(H51,Dades!$D$148:$N$166,Dades!$F$2-2009,0)),ISTEXT(VLOOKUP(H51,Dades!$D$148:$N$166,Dades!$F$2-2009,0))),VLOOKUP(H51,Dades!$D$148:$N$166,Dades!$F$2-2009,0),"")</f>
        <v/>
      </c>
      <c r="K51" s="381" t="str">
        <f>IF(OR(ISNUMBER(VLOOKUP(H51,Dades!$Y$148:$AE$166,6,0)),ISTEXT(VLOOKUP(H51,Dades!$Y$148:$AE$166,6,0))),VLOOKUP(H51,Dades!$Y$148:$AE$166,6,0),"")</f>
        <v/>
      </c>
      <c r="L51" s="381" t="str">
        <f>IF(OR(ISNUMBER(VLOOKUP(H51,Dades!$Y$148:$AE$166,7,0)),ISTEXT(VLOOKUP(H51,Dades!$Y$148:$AE$166,7,0))),VLOOKUP(H51,Dades!$Y$148:$AE$166,7,0),"")</f>
        <v/>
      </c>
      <c r="M51" s="418"/>
      <c r="N51" s="57" t="str">
        <f t="shared" si="1"/>
        <v/>
      </c>
      <c r="O51" s="57" t="str">
        <f>IF(AND(ISNUMBER(I51),ISNUMBER(M51)),I51*M51,IF(AND(ISNUMBER(I51),ISNUMBER(J51)),I51*(J51+K51*Dades!$D$657+L51*Dades!$D$658),""))</f>
        <v/>
      </c>
      <c r="P51" s="482"/>
      <c r="Q51" s="483"/>
      <c r="R51" s="420"/>
      <c r="S51" s="421"/>
      <c r="T51" s="57" t="str">
        <f t="shared" si="2"/>
        <v/>
      </c>
      <c r="U51" s="57" t="str">
        <f>IF(ISNUMBER(O51),"",IF(IF(ISNUMBER(R51),(R51*S51*Dades!$AP$146)/1000,0)=0,"",IF(ISNUMBER(R51),(R51*S51*Dades!$AP$146)/1000,0)))</f>
        <v/>
      </c>
      <c r="V51" s="471"/>
    </row>
    <row r="52" spans="1:22" s="59" customFormat="1" ht="15" customHeight="1" x14ac:dyDescent="0.3">
      <c r="A52" s="41"/>
      <c r="B52" s="13"/>
      <c r="C52" s="13"/>
      <c r="D52" s="41"/>
      <c r="E52" s="415"/>
      <c r="F52" s="395" t="str">
        <f>IF(E52="","",IF(VLOOKUP(E52,'0_Dades generals organització'!$H$53:$L$300,3,FALSE)="","",VLOOKUP(E52,'0_Dades generals organització'!$H$53:$L$300,3,FALSE)))</f>
        <v/>
      </c>
      <c r="G52" s="419"/>
      <c r="H52" s="416"/>
      <c r="I52" s="420"/>
      <c r="J52" s="56" t="str">
        <f>IF(OR(ISNUMBER(VLOOKUP(H52,Dades!$D$148:$N$166,Dades!$F$2-2009,0)),ISTEXT(VLOOKUP(H52,Dades!$D$148:$N$166,Dades!$F$2-2009,0))),VLOOKUP(H52,Dades!$D$148:$N$166,Dades!$F$2-2009,0),"")</f>
        <v/>
      </c>
      <c r="K52" s="381" t="str">
        <f>IF(OR(ISNUMBER(VLOOKUP(H52,Dades!$Y$148:$AE$166,6,0)),ISTEXT(VLOOKUP(H52,Dades!$Y$148:$AE$166,6,0))),VLOOKUP(H52,Dades!$Y$148:$AE$166,6,0),"")</f>
        <v/>
      </c>
      <c r="L52" s="381" t="str">
        <f>IF(OR(ISNUMBER(VLOOKUP(H52,Dades!$Y$148:$AE$166,7,0)),ISTEXT(VLOOKUP(H52,Dades!$Y$148:$AE$166,7,0))),VLOOKUP(H52,Dades!$Y$148:$AE$166,7,0),"")</f>
        <v/>
      </c>
      <c r="M52" s="418"/>
      <c r="N52" s="57" t="str">
        <f t="shared" si="1"/>
        <v/>
      </c>
      <c r="O52" s="57" t="str">
        <f>IF(AND(ISNUMBER(I52),ISNUMBER(M52)),I52*M52,IF(AND(ISNUMBER(I52),ISNUMBER(J52)),I52*(J52+K52*Dades!$D$657+L52*Dades!$D$658),""))</f>
        <v/>
      </c>
      <c r="P52" s="482"/>
      <c r="Q52" s="483"/>
      <c r="R52" s="420"/>
      <c r="S52" s="421"/>
      <c r="T52" s="57" t="str">
        <f t="shared" si="2"/>
        <v/>
      </c>
      <c r="U52" s="57" t="str">
        <f>IF(ISNUMBER(O52),"",IF(IF(ISNUMBER(R52),(R52*S52*Dades!$AP$146)/1000,0)=0,"",IF(ISNUMBER(R52),(R52*S52*Dades!$AP$146)/1000,0)))</f>
        <v/>
      </c>
      <c r="V52" s="466"/>
    </row>
    <row r="53" spans="1:22" s="59" customFormat="1" ht="15" customHeight="1" x14ac:dyDescent="0.3">
      <c r="A53" s="41"/>
      <c r="B53" s="13"/>
      <c r="C53" s="13"/>
      <c r="D53" s="41"/>
      <c r="E53" s="415"/>
      <c r="F53" s="395" t="str">
        <f>IF(E53="","",IF(VLOOKUP(E53,'0_Dades generals organització'!$H$53:$L$300,3,FALSE)="","",VLOOKUP(E53,'0_Dades generals organització'!$H$53:$L$300,3,FALSE)))</f>
        <v/>
      </c>
      <c r="G53" s="419"/>
      <c r="H53" s="416"/>
      <c r="I53" s="420"/>
      <c r="J53" s="56" t="str">
        <f>IF(OR(ISNUMBER(VLOOKUP(H53,Dades!$D$148:$N$166,Dades!$F$2-2009,0)),ISTEXT(VLOOKUP(H53,Dades!$D$148:$N$166,Dades!$F$2-2009,0))),VLOOKUP(H53,Dades!$D$148:$N$166,Dades!$F$2-2009,0),"")</f>
        <v/>
      </c>
      <c r="K53" s="381" t="str">
        <f>IF(OR(ISNUMBER(VLOOKUP(H53,Dades!$Y$148:$AE$166,6,0)),ISTEXT(VLOOKUP(H53,Dades!$Y$148:$AE$166,6,0))),VLOOKUP(H53,Dades!$Y$148:$AE$166,6,0),"")</f>
        <v/>
      </c>
      <c r="L53" s="381" t="str">
        <f>IF(OR(ISNUMBER(VLOOKUP(H53,Dades!$Y$148:$AE$166,7,0)),ISTEXT(VLOOKUP(H53,Dades!$Y$148:$AE$166,7,0))),VLOOKUP(H53,Dades!$Y$148:$AE$166,7,0),"")</f>
        <v/>
      </c>
      <c r="M53" s="418"/>
      <c r="N53" s="57" t="str">
        <f t="shared" si="1"/>
        <v/>
      </c>
      <c r="O53" s="57" t="str">
        <f>IF(AND(ISNUMBER(I53),ISNUMBER(M53)),I53*M53,IF(AND(ISNUMBER(I53),ISNUMBER(J53)),I53*(J53+K53*Dades!$D$657+L53*Dades!$D$658),""))</f>
        <v/>
      </c>
      <c r="P53" s="482"/>
      <c r="Q53" s="483"/>
      <c r="R53" s="420"/>
      <c r="S53" s="421"/>
      <c r="T53" s="57" t="str">
        <f t="shared" si="2"/>
        <v/>
      </c>
      <c r="U53" s="57" t="str">
        <f>IF(ISNUMBER(O53),"",IF(IF(ISNUMBER(R53),(R53*S53*Dades!$AP$146)/1000,0)=0,"",IF(ISNUMBER(R53),(R53*S53*Dades!$AP$146)/1000,0)))</f>
        <v/>
      </c>
      <c r="V53" s="58">
        <f>O68+U68</f>
        <v>0</v>
      </c>
    </row>
    <row r="54" spans="1:22" s="59" customFormat="1" ht="15" customHeight="1" x14ac:dyDescent="0.3">
      <c r="A54" s="41"/>
      <c r="B54" s="13"/>
      <c r="C54" s="13"/>
      <c r="D54" s="41"/>
      <c r="E54" s="415"/>
      <c r="F54" s="395" t="str">
        <f>IF(E54="","",IF(VLOOKUP(E54,'0_Dades generals organització'!$H$53:$L$300,3,FALSE)="","",VLOOKUP(E54,'0_Dades generals organització'!$H$53:$L$300,3,FALSE)))</f>
        <v/>
      </c>
      <c r="G54" s="419"/>
      <c r="H54" s="416"/>
      <c r="I54" s="420"/>
      <c r="J54" s="56" t="str">
        <f>IF(OR(ISNUMBER(VLOOKUP(H54,Dades!$D$148:$N$166,Dades!$F$2-2009,0)),ISTEXT(VLOOKUP(H54,Dades!$D$148:$N$166,Dades!$F$2-2009,0))),VLOOKUP(H54,Dades!$D$148:$N$166,Dades!$F$2-2009,0),"")</f>
        <v/>
      </c>
      <c r="K54" s="381" t="str">
        <f>IF(OR(ISNUMBER(VLOOKUP(H54,Dades!$Y$148:$AE$166,6,0)),ISTEXT(VLOOKUP(H54,Dades!$Y$148:$AE$166,6,0))),VLOOKUP(H54,Dades!$Y$148:$AE$166,6,0),"")</f>
        <v/>
      </c>
      <c r="L54" s="381" t="str">
        <f>IF(OR(ISNUMBER(VLOOKUP(H54,Dades!$Y$148:$AE$166,7,0)),ISTEXT(VLOOKUP(H54,Dades!$Y$148:$AE$166,7,0))),VLOOKUP(H54,Dades!$Y$148:$AE$166,7,0),"")</f>
        <v/>
      </c>
      <c r="M54" s="418"/>
      <c r="N54" s="57" t="str">
        <f t="shared" si="1"/>
        <v/>
      </c>
      <c r="O54" s="57" t="str">
        <f>IF(AND(ISNUMBER(I54),ISNUMBER(M54)),I54*M54,IF(AND(ISNUMBER(I54),ISNUMBER(J54)),I54*(J54+K54*Dades!$D$657+L54*Dades!$D$658),""))</f>
        <v/>
      </c>
      <c r="P54" s="482"/>
      <c r="Q54" s="483"/>
      <c r="R54" s="420"/>
      <c r="S54" s="421"/>
      <c r="T54" s="57" t="str">
        <f t="shared" si="2"/>
        <v/>
      </c>
      <c r="U54" s="57" t="str">
        <f>IF(ISNUMBER(O54),"",IF(IF(ISNUMBER(R54),(R54*S54*Dades!$AP$146)/1000,0)=0,"",IF(ISNUMBER(R54),(R54*S54*Dades!$AP$146)/1000,0)))</f>
        <v/>
      </c>
    </row>
    <row r="55" spans="1:22" s="59" customFormat="1" ht="15" customHeight="1" x14ac:dyDescent="0.3">
      <c r="A55" s="41"/>
      <c r="B55" s="13"/>
      <c r="C55" s="13"/>
      <c r="D55" s="41"/>
      <c r="E55" s="415"/>
      <c r="F55" s="395" t="str">
        <f>IF(E55="","",IF(VLOOKUP(E55,'0_Dades generals organització'!$H$53:$L$300,3,FALSE)="","",VLOOKUP(E55,'0_Dades generals organització'!$H$53:$L$300,3,FALSE)))</f>
        <v/>
      </c>
      <c r="G55" s="419"/>
      <c r="H55" s="416"/>
      <c r="I55" s="420"/>
      <c r="J55" s="56" t="str">
        <f>IF(OR(ISNUMBER(VLOOKUP(H55,Dades!$D$148:$N$166,Dades!$F$2-2009,0)),ISTEXT(VLOOKUP(H55,Dades!$D$148:$N$166,Dades!$F$2-2009,0))),VLOOKUP(H55,Dades!$D$148:$N$166,Dades!$F$2-2009,0),"")</f>
        <v/>
      </c>
      <c r="K55" s="381" t="str">
        <f>IF(OR(ISNUMBER(VLOOKUP(H55,Dades!$Y$148:$AE$166,6,0)),ISTEXT(VLOOKUP(H55,Dades!$Y$148:$AE$166,6,0))),VLOOKUP(H55,Dades!$Y$148:$AE$166,6,0),"")</f>
        <v/>
      </c>
      <c r="L55" s="381" t="str">
        <f>IF(OR(ISNUMBER(VLOOKUP(H55,Dades!$Y$148:$AE$166,7,0)),ISTEXT(VLOOKUP(H55,Dades!$Y$148:$AE$166,7,0))),VLOOKUP(H55,Dades!$Y$148:$AE$166,7,0),"")</f>
        <v/>
      </c>
      <c r="M55" s="418"/>
      <c r="N55" s="57" t="str">
        <f t="shared" si="1"/>
        <v/>
      </c>
      <c r="O55" s="57" t="str">
        <f>IF(AND(ISNUMBER(I55),ISNUMBER(M55)),I55*M55,IF(AND(ISNUMBER(I55),ISNUMBER(J55)),I55*(J55+K55*Dades!$D$657+L55*Dades!$D$658),""))</f>
        <v/>
      </c>
      <c r="P55" s="482"/>
      <c r="Q55" s="483"/>
      <c r="R55" s="420"/>
      <c r="S55" s="421"/>
      <c r="T55" s="57" t="str">
        <f t="shared" si="2"/>
        <v/>
      </c>
      <c r="U55" s="57" t="str">
        <f>IF(ISNUMBER(O55),"",IF(IF(ISNUMBER(R55),(R55*S55*Dades!$AP$146)/1000,0)=0,"",IF(ISNUMBER(R55),(R55*S55*Dades!$AP$146)/1000,0)))</f>
        <v/>
      </c>
    </row>
    <row r="56" spans="1:22" s="59" customFormat="1" ht="15" customHeight="1" x14ac:dyDescent="0.3">
      <c r="A56" s="41"/>
      <c r="B56" s="13"/>
      <c r="C56" s="13"/>
      <c r="D56" s="41"/>
      <c r="E56" s="415"/>
      <c r="F56" s="395" t="str">
        <f>IF(E56="","",IF(VLOOKUP(E56,'0_Dades generals organització'!$H$53:$L$300,3,FALSE)="","",VLOOKUP(E56,'0_Dades generals organització'!$H$53:$L$300,3,FALSE)))</f>
        <v/>
      </c>
      <c r="G56" s="419"/>
      <c r="H56" s="416"/>
      <c r="I56" s="420"/>
      <c r="J56" s="56" t="str">
        <f>IF(OR(ISNUMBER(VLOOKUP(H56,Dades!$D$148:$N$166,Dades!$F$2-2009,0)),ISTEXT(VLOOKUP(H56,Dades!$D$148:$N$166,Dades!$F$2-2009,0))),VLOOKUP(H56,Dades!$D$148:$N$166,Dades!$F$2-2009,0),"")</f>
        <v/>
      </c>
      <c r="K56" s="381" t="str">
        <f>IF(OR(ISNUMBER(VLOOKUP(H56,Dades!$Y$148:$AE$166,6,0)),ISTEXT(VLOOKUP(H56,Dades!$Y$148:$AE$166,6,0))),VLOOKUP(H56,Dades!$Y$148:$AE$166,6,0),"")</f>
        <v/>
      </c>
      <c r="L56" s="381" t="str">
        <f>IF(OR(ISNUMBER(VLOOKUP(H56,Dades!$Y$148:$AE$166,7,0)),ISTEXT(VLOOKUP(H56,Dades!$Y$148:$AE$166,7,0))),VLOOKUP(H56,Dades!$Y$148:$AE$166,7,0),"")</f>
        <v/>
      </c>
      <c r="M56" s="418"/>
      <c r="N56" s="57" t="str">
        <f t="shared" si="1"/>
        <v/>
      </c>
      <c r="O56" s="57" t="str">
        <f>IF(AND(ISNUMBER(I56),ISNUMBER(M56)),I56*M56,IF(AND(ISNUMBER(I56),ISNUMBER(J56)),I56*(J56+K56*Dades!$D$657+L56*Dades!$D$658),""))</f>
        <v/>
      </c>
      <c r="P56" s="482"/>
      <c r="Q56" s="483"/>
      <c r="R56" s="420"/>
      <c r="S56" s="421"/>
      <c r="T56" s="57" t="str">
        <f t="shared" si="2"/>
        <v/>
      </c>
      <c r="U56" s="57" t="str">
        <f>IF(ISNUMBER(O56),"",IF(IF(ISNUMBER(R56),(R56*S56*Dades!$AP$146)/1000,0)=0,"",IF(ISNUMBER(R56),(R56*S56*Dades!$AP$146)/1000,0)))</f>
        <v/>
      </c>
    </row>
    <row r="57" spans="1:22" s="59" customFormat="1" ht="15" customHeight="1" x14ac:dyDescent="0.3">
      <c r="A57" s="41"/>
      <c r="B57" s="13"/>
      <c r="C57" s="13"/>
      <c r="D57" s="41"/>
      <c r="E57" s="415"/>
      <c r="F57" s="395" t="str">
        <f>IF(E57="","",IF(VLOOKUP(E57,'0_Dades generals organització'!$H$53:$L$300,3,FALSE)="","",VLOOKUP(E57,'0_Dades generals organització'!$H$53:$L$300,3,FALSE)))</f>
        <v/>
      </c>
      <c r="G57" s="419"/>
      <c r="H57" s="416"/>
      <c r="I57" s="420"/>
      <c r="J57" s="56" t="str">
        <f>IF(OR(ISNUMBER(VLOOKUP(H57,Dades!$D$148:$N$166,Dades!$F$2-2009,0)),ISTEXT(VLOOKUP(H57,Dades!$D$148:$N$166,Dades!$F$2-2009,0))),VLOOKUP(H57,Dades!$D$148:$N$166,Dades!$F$2-2009,0),"")</f>
        <v/>
      </c>
      <c r="K57" s="381" t="str">
        <f>IF(OR(ISNUMBER(VLOOKUP(H57,Dades!$Y$148:$AE$166,6,0)),ISTEXT(VLOOKUP(H57,Dades!$Y$148:$AE$166,6,0))),VLOOKUP(H57,Dades!$Y$148:$AE$166,6,0),"")</f>
        <v/>
      </c>
      <c r="L57" s="381" t="str">
        <f>IF(OR(ISNUMBER(VLOOKUP(H57,Dades!$Y$148:$AE$166,7,0)),ISTEXT(VLOOKUP(H57,Dades!$Y$148:$AE$166,7,0))),VLOOKUP(H57,Dades!$Y$148:$AE$166,7,0),"")</f>
        <v/>
      </c>
      <c r="M57" s="418"/>
      <c r="N57" s="57" t="str">
        <f t="shared" si="1"/>
        <v/>
      </c>
      <c r="O57" s="57" t="str">
        <f>IF(AND(ISNUMBER(I57),ISNUMBER(M57)),I57*M57,IF(AND(ISNUMBER(I57),ISNUMBER(J57)),I57*(J57+K57*Dades!$D$657+L57*Dades!$D$658),""))</f>
        <v/>
      </c>
      <c r="P57" s="482"/>
      <c r="Q57" s="483"/>
      <c r="R57" s="420"/>
      <c r="S57" s="421"/>
      <c r="T57" s="57" t="str">
        <f t="shared" si="2"/>
        <v/>
      </c>
      <c r="U57" s="57" t="str">
        <f>IF(ISNUMBER(O57),"",IF(IF(ISNUMBER(R57),(R57*S57*Dades!$AP$146)/1000,0)=0,"",IF(ISNUMBER(R57),(R57*S57*Dades!$AP$146)/1000,0)))</f>
        <v/>
      </c>
    </row>
    <row r="58" spans="1:22" s="59" customFormat="1" ht="15" customHeight="1" x14ac:dyDescent="0.3">
      <c r="A58" s="41"/>
      <c r="B58" s="13"/>
      <c r="C58" s="13"/>
      <c r="D58" s="41"/>
      <c r="E58" s="415"/>
      <c r="F58" s="395" t="str">
        <f>IF(E58="","",IF(VLOOKUP(E58,'0_Dades generals organització'!$H$53:$L$300,3,FALSE)="","",VLOOKUP(E58,'0_Dades generals organització'!$H$53:$L$300,3,FALSE)))</f>
        <v/>
      </c>
      <c r="G58" s="419"/>
      <c r="H58" s="416"/>
      <c r="I58" s="420"/>
      <c r="J58" s="56" t="str">
        <f>IF(OR(ISNUMBER(VLOOKUP(H58,Dades!$D$148:$N$166,Dades!$F$2-2009,0)),ISTEXT(VLOOKUP(H58,Dades!$D$148:$N$166,Dades!$F$2-2009,0))),VLOOKUP(H58,Dades!$D$148:$N$166,Dades!$F$2-2009,0),"")</f>
        <v/>
      </c>
      <c r="K58" s="381" t="str">
        <f>IF(OR(ISNUMBER(VLOOKUP(H58,Dades!$Y$148:$AE$166,6,0)),ISTEXT(VLOOKUP(H58,Dades!$Y$148:$AE$166,6,0))),VLOOKUP(H58,Dades!$Y$148:$AE$166,6,0),"")</f>
        <v/>
      </c>
      <c r="L58" s="381" t="str">
        <f>IF(OR(ISNUMBER(VLOOKUP(H58,Dades!$Y$148:$AE$166,7,0)),ISTEXT(VLOOKUP(H58,Dades!$Y$148:$AE$166,7,0))),VLOOKUP(H58,Dades!$Y$148:$AE$166,7,0),"")</f>
        <v/>
      </c>
      <c r="M58" s="418"/>
      <c r="N58" s="57" t="str">
        <f t="shared" si="1"/>
        <v/>
      </c>
      <c r="O58" s="57" t="str">
        <f>IF(AND(ISNUMBER(I58),ISNUMBER(M58)),I58*M58,IF(AND(ISNUMBER(I58),ISNUMBER(J58)),I58*(J58+K58*Dades!$D$657+L58*Dades!$D$658),""))</f>
        <v/>
      </c>
      <c r="P58" s="482"/>
      <c r="Q58" s="483"/>
      <c r="R58" s="420"/>
      <c r="S58" s="421"/>
      <c r="T58" s="57" t="str">
        <f t="shared" si="2"/>
        <v/>
      </c>
      <c r="U58" s="57" t="str">
        <f>IF(ISNUMBER(O58),"",IF(IF(ISNUMBER(R58),(R58*S58*Dades!$AP$146)/1000,0)=0,"",IF(ISNUMBER(R58),(R58*S58*Dades!$AP$146)/1000,0)))</f>
        <v/>
      </c>
    </row>
    <row r="59" spans="1:22" s="59" customFormat="1" ht="15" customHeight="1" x14ac:dyDescent="0.3">
      <c r="A59" s="41"/>
      <c r="B59" s="13"/>
      <c r="C59" s="13"/>
      <c r="D59" s="41"/>
      <c r="E59" s="415"/>
      <c r="F59" s="395" t="str">
        <f>IF(E59="","",IF(VLOOKUP(E59,'0_Dades generals organització'!$H$53:$L$300,3,FALSE)="","",VLOOKUP(E59,'0_Dades generals organització'!$H$53:$L$300,3,FALSE)))</f>
        <v/>
      </c>
      <c r="G59" s="419"/>
      <c r="H59" s="416"/>
      <c r="I59" s="420"/>
      <c r="J59" s="56" t="str">
        <f>IF(OR(ISNUMBER(VLOOKUP(H59,Dades!$D$148:$N$166,Dades!$F$2-2009,0)),ISTEXT(VLOOKUP(H59,Dades!$D$148:$N$166,Dades!$F$2-2009,0))),VLOOKUP(H59,Dades!$D$148:$N$166,Dades!$F$2-2009,0),"")</f>
        <v/>
      </c>
      <c r="K59" s="381" t="str">
        <f>IF(OR(ISNUMBER(VLOOKUP(H59,Dades!$Y$148:$AE$166,6,0)),ISTEXT(VLOOKUP(H59,Dades!$Y$148:$AE$166,6,0))),VLOOKUP(H59,Dades!$Y$148:$AE$166,6,0),"")</f>
        <v/>
      </c>
      <c r="L59" s="381" t="str">
        <f>IF(OR(ISNUMBER(VLOOKUP(H59,Dades!$Y$148:$AE$166,7,0)),ISTEXT(VLOOKUP(H59,Dades!$Y$148:$AE$166,7,0))),VLOOKUP(H59,Dades!$Y$148:$AE$166,7,0),"")</f>
        <v/>
      </c>
      <c r="M59" s="418"/>
      <c r="N59" s="57" t="str">
        <f t="shared" si="1"/>
        <v/>
      </c>
      <c r="O59" s="57" t="str">
        <f>IF(AND(ISNUMBER(I59),ISNUMBER(M59)),I59*M59,IF(AND(ISNUMBER(I59),ISNUMBER(J59)),I59*(J59+K59*Dades!$D$657+L59*Dades!$D$658),""))</f>
        <v/>
      </c>
      <c r="P59" s="482"/>
      <c r="Q59" s="483"/>
      <c r="R59" s="420"/>
      <c r="S59" s="421"/>
      <c r="T59" s="57" t="str">
        <f t="shared" si="2"/>
        <v/>
      </c>
      <c r="U59" s="57" t="str">
        <f>IF(ISNUMBER(O59),"",IF(IF(ISNUMBER(R59),(R59*S59*Dades!$AP$146)/1000,0)=0,"",IF(ISNUMBER(R59),(R59*S59*Dades!$AP$146)/1000,0)))</f>
        <v/>
      </c>
    </row>
    <row r="60" spans="1:22" s="59" customFormat="1" ht="15" customHeight="1" x14ac:dyDescent="0.3">
      <c r="A60" s="41"/>
      <c r="B60" s="13"/>
      <c r="C60" s="13"/>
      <c r="D60" s="41"/>
      <c r="E60" s="415"/>
      <c r="F60" s="395" t="str">
        <f>IF(E60="","",IF(VLOOKUP(E60,'0_Dades generals organització'!$H$53:$L$300,3,FALSE)="","",VLOOKUP(E60,'0_Dades generals organització'!$H$53:$L$300,3,FALSE)))</f>
        <v/>
      </c>
      <c r="G60" s="419"/>
      <c r="H60" s="416"/>
      <c r="I60" s="420"/>
      <c r="J60" s="56" t="str">
        <f>IF(OR(ISNUMBER(VLOOKUP(H60,Dades!$D$148:$N$166,Dades!$F$2-2009,0)),ISTEXT(VLOOKUP(H60,Dades!$D$148:$N$166,Dades!$F$2-2009,0))),VLOOKUP(H60,Dades!$D$148:$N$166,Dades!$F$2-2009,0),"")</f>
        <v/>
      </c>
      <c r="K60" s="381" t="str">
        <f>IF(OR(ISNUMBER(VLOOKUP(H60,Dades!$Y$148:$AE$166,6,0)),ISTEXT(VLOOKUP(H60,Dades!$Y$148:$AE$166,6,0))),VLOOKUP(H60,Dades!$Y$148:$AE$166,6,0),"")</f>
        <v/>
      </c>
      <c r="L60" s="381" t="str">
        <f>IF(OR(ISNUMBER(VLOOKUP(H60,Dades!$Y$148:$AE$166,7,0)),ISTEXT(VLOOKUP(H60,Dades!$Y$148:$AE$166,7,0))),VLOOKUP(H60,Dades!$Y$148:$AE$166,7,0),"")</f>
        <v/>
      </c>
      <c r="M60" s="418"/>
      <c r="N60" s="57" t="str">
        <f t="shared" si="1"/>
        <v/>
      </c>
      <c r="O60" s="57" t="str">
        <f>IF(AND(ISNUMBER(I60),ISNUMBER(M60)),I60*M60,IF(AND(ISNUMBER(I60),ISNUMBER(J60)),I60*(J60+K60*Dades!$D$657+L60*Dades!$D$658),""))</f>
        <v/>
      </c>
      <c r="P60" s="482"/>
      <c r="Q60" s="483"/>
      <c r="R60" s="420"/>
      <c r="S60" s="421"/>
      <c r="T60" s="57" t="str">
        <f t="shared" si="2"/>
        <v/>
      </c>
      <c r="U60" s="57" t="str">
        <f>IF(ISNUMBER(O60),"",IF(IF(ISNUMBER(R60),(R60*S60*Dades!$AP$146)/1000,0)=0,"",IF(ISNUMBER(R60),(R60*S60*Dades!$AP$146)/1000,0)))</f>
        <v/>
      </c>
    </row>
    <row r="61" spans="1:22" s="59" customFormat="1" ht="15" customHeight="1" x14ac:dyDescent="0.3">
      <c r="A61" s="41"/>
      <c r="B61" s="13"/>
      <c r="C61" s="13"/>
      <c r="D61" s="41"/>
      <c r="E61" s="415"/>
      <c r="F61" s="395" t="str">
        <f>IF(E61="","",IF(VLOOKUP(E61,'0_Dades generals organització'!$H$53:$L$300,3,FALSE)="","",VLOOKUP(E61,'0_Dades generals organització'!$H$53:$L$300,3,FALSE)))</f>
        <v/>
      </c>
      <c r="G61" s="419"/>
      <c r="H61" s="416"/>
      <c r="I61" s="420"/>
      <c r="J61" s="56" t="str">
        <f>IF(OR(ISNUMBER(VLOOKUP(H61,Dades!$D$148:$N$166,Dades!$F$2-2009,0)),ISTEXT(VLOOKUP(H61,Dades!$D$148:$N$166,Dades!$F$2-2009,0))),VLOOKUP(H61,Dades!$D$148:$N$166,Dades!$F$2-2009,0),"")</f>
        <v/>
      </c>
      <c r="K61" s="381" t="str">
        <f>IF(OR(ISNUMBER(VLOOKUP(H61,Dades!$Y$148:$AE$166,6,0)),ISTEXT(VLOOKUP(H61,Dades!$Y$148:$AE$166,6,0))),VLOOKUP(H61,Dades!$Y$148:$AE$166,6,0),"")</f>
        <v/>
      </c>
      <c r="L61" s="381" t="str">
        <f>IF(OR(ISNUMBER(VLOOKUP(H61,Dades!$Y$148:$AE$166,7,0)),ISTEXT(VLOOKUP(H61,Dades!$Y$148:$AE$166,7,0))),VLOOKUP(H61,Dades!$Y$148:$AE$166,7,0),"")</f>
        <v/>
      </c>
      <c r="M61" s="418"/>
      <c r="N61" s="57" t="str">
        <f t="shared" si="1"/>
        <v/>
      </c>
      <c r="O61" s="57" t="str">
        <f>IF(AND(ISNUMBER(I61),ISNUMBER(M61)),I61*M61,IF(AND(ISNUMBER(I61),ISNUMBER(J61)),I61*(J61+K61*Dades!$D$657+L61*Dades!$D$658),""))</f>
        <v/>
      </c>
      <c r="P61" s="482"/>
      <c r="Q61" s="483"/>
      <c r="R61" s="420"/>
      <c r="S61" s="421"/>
      <c r="T61" s="57" t="str">
        <f t="shared" si="2"/>
        <v/>
      </c>
      <c r="U61" s="57" t="str">
        <f>IF(ISNUMBER(O61),"",IF(IF(ISNUMBER(R61),(R61*S61*Dades!$AP$146)/1000,0)=0,"",IF(ISNUMBER(R61),(R61*S61*Dades!$AP$146)/1000,0)))</f>
        <v/>
      </c>
    </row>
    <row r="62" spans="1:22" s="59" customFormat="1" ht="15.75" customHeight="1" x14ac:dyDescent="0.3">
      <c r="A62" s="41"/>
      <c r="B62" s="13"/>
      <c r="C62" s="13"/>
      <c r="D62" s="41"/>
      <c r="E62" s="415"/>
      <c r="F62" s="395" t="str">
        <f>IF(E62="","",IF(VLOOKUP(E62,'0_Dades generals organització'!$H$53:$L$300,3,FALSE)="","",VLOOKUP(E62,'0_Dades generals organització'!$H$53:$L$300,3,FALSE)))</f>
        <v/>
      </c>
      <c r="G62" s="419"/>
      <c r="H62" s="416"/>
      <c r="I62" s="420"/>
      <c r="J62" s="56" t="str">
        <f>IF(OR(ISNUMBER(VLOOKUP(H62,Dades!$D$148:$N$166,Dades!$F$2-2009,0)),ISTEXT(VLOOKUP(H62,Dades!$D$148:$N$166,Dades!$F$2-2009,0))),VLOOKUP(H62,Dades!$D$148:$N$166,Dades!$F$2-2009,0),"")</f>
        <v/>
      </c>
      <c r="K62" s="381" t="str">
        <f>IF(OR(ISNUMBER(VLOOKUP(H62,Dades!$Y$148:$AE$166,6,0)),ISTEXT(VLOOKUP(H62,Dades!$Y$148:$AE$166,6,0))),VLOOKUP(H62,Dades!$Y$148:$AE$166,6,0),"")</f>
        <v/>
      </c>
      <c r="L62" s="381" t="str">
        <f>IF(OR(ISNUMBER(VLOOKUP(H62,Dades!$Y$148:$AE$166,7,0)),ISTEXT(VLOOKUP(H62,Dades!$Y$148:$AE$166,7,0))),VLOOKUP(H62,Dades!$Y$148:$AE$166,7,0),"")</f>
        <v/>
      </c>
      <c r="M62" s="418"/>
      <c r="N62" s="57" t="str">
        <f t="shared" si="1"/>
        <v/>
      </c>
      <c r="O62" s="57" t="str">
        <f>IF(AND(ISNUMBER(I62),ISNUMBER(M62)),I62*M62,IF(AND(ISNUMBER(I62),ISNUMBER(J62)),I62*(J62+K62*Dades!$D$657+L62*Dades!$D$658),""))</f>
        <v/>
      </c>
      <c r="P62" s="482"/>
      <c r="Q62" s="483"/>
      <c r="R62" s="420"/>
      <c r="S62" s="421"/>
      <c r="T62" s="57" t="str">
        <f t="shared" si="2"/>
        <v/>
      </c>
      <c r="U62" s="57" t="str">
        <f>IF(ISNUMBER(O62),"",IF(IF(ISNUMBER(R62),(R62*S62*Dades!$AP$146)/1000,0)=0,"",IF(ISNUMBER(R62),(R62*S62*Dades!$AP$146)/1000,0)))</f>
        <v/>
      </c>
    </row>
    <row r="63" spans="1:22" s="59" customFormat="1" ht="15" customHeight="1" x14ac:dyDescent="0.3">
      <c r="A63" s="41"/>
      <c r="B63" s="13"/>
      <c r="C63" s="13"/>
      <c r="D63" s="41"/>
      <c r="E63" s="415"/>
      <c r="F63" s="395" t="str">
        <f>IF(E63="","",IF(VLOOKUP(E63,'0_Dades generals organització'!$H$53:$L$300,3,FALSE)="","",VLOOKUP(E63,'0_Dades generals organització'!$H$53:$L$300,3,FALSE)))</f>
        <v/>
      </c>
      <c r="G63" s="419"/>
      <c r="H63" s="416"/>
      <c r="I63" s="420"/>
      <c r="J63" s="56" t="str">
        <f>IF(OR(ISNUMBER(VLOOKUP(H63,Dades!$D$148:$N$166,Dades!$F$2-2009,0)),ISTEXT(VLOOKUP(H63,Dades!$D$148:$N$166,Dades!$F$2-2009,0))),VLOOKUP(H63,Dades!$D$148:$N$166,Dades!$F$2-2009,0),"")</f>
        <v/>
      </c>
      <c r="K63" s="381" t="str">
        <f>IF(OR(ISNUMBER(VLOOKUP(H63,Dades!$Y$148:$AE$166,6,0)),ISTEXT(VLOOKUP(H63,Dades!$Y$148:$AE$166,6,0))),VLOOKUP(H63,Dades!$Y$148:$AE$166,6,0),"")</f>
        <v/>
      </c>
      <c r="L63" s="381" t="str">
        <f>IF(OR(ISNUMBER(VLOOKUP(H63,Dades!$Y$148:$AE$166,7,0)),ISTEXT(VLOOKUP(H63,Dades!$Y$148:$AE$166,7,0))),VLOOKUP(H63,Dades!$Y$148:$AE$166,7,0),"")</f>
        <v/>
      </c>
      <c r="M63" s="418"/>
      <c r="N63" s="57" t="str">
        <f t="shared" si="1"/>
        <v/>
      </c>
      <c r="O63" s="57" t="str">
        <f>IF(AND(ISNUMBER(I63),ISNUMBER(M63)),I63*M63,IF(AND(ISNUMBER(I63),ISNUMBER(J63)),I63*(J63+K63*Dades!$D$657+L63*Dades!$D$658),""))</f>
        <v/>
      </c>
      <c r="P63" s="482"/>
      <c r="Q63" s="483"/>
      <c r="R63" s="420"/>
      <c r="S63" s="421"/>
      <c r="T63" s="57" t="str">
        <f t="shared" si="2"/>
        <v/>
      </c>
      <c r="U63" s="57" t="str">
        <f>IF(ISNUMBER(O63),"",IF(IF(ISNUMBER(R63),(R63*S63*Dades!$AP$146)/1000,0)=0,"",IF(ISNUMBER(R63),(R63*S63*Dades!$AP$146)/1000,0)))</f>
        <v/>
      </c>
    </row>
    <row r="64" spans="1:22" s="59" customFormat="1" ht="15" customHeight="1" x14ac:dyDescent="0.3">
      <c r="A64" s="41"/>
      <c r="B64" s="13"/>
      <c r="C64" s="13"/>
      <c r="D64" s="41"/>
      <c r="E64" s="415"/>
      <c r="F64" s="395" t="str">
        <f>IF(E64="","",IF(VLOOKUP(E64,'0_Dades generals organització'!$H$53:$L$300,3,FALSE)="","",VLOOKUP(E64,'0_Dades generals organització'!$H$53:$L$300,3,FALSE)))</f>
        <v/>
      </c>
      <c r="G64" s="419"/>
      <c r="H64" s="416"/>
      <c r="I64" s="420"/>
      <c r="J64" s="56" t="str">
        <f>IF(OR(ISNUMBER(VLOOKUP(H64,Dades!$D$148:$N$166,Dades!$F$2-2009,0)),ISTEXT(VLOOKUP(H64,Dades!$D$148:$N$166,Dades!$F$2-2009,0))),VLOOKUP(H64,Dades!$D$148:$N$166,Dades!$F$2-2009,0),"")</f>
        <v/>
      </c>
      <c r="K64" s="381" t="str">
        <f>IF(OR(ISNUMBER(VLOOKUP(H64,Dades!$Y$148:$AE$166,6,0)),ISTEXT(VLOOKUP(H64,Dades!$Y$148:$AE$166,6,0))),VLOOKUP(H64,Dades!$Y$148:$AE$166,6,0),"")</f>
        <v/>
      </c>
      <c r="L64" s="381" t="str">
        <f>IF(OR(ISNUMBER(VLOOKUP(H64,Dades!$Y$148:$AE$166,7,0)),ISTEXT(VLOOKUP(H64,Dades!$Y$148:$AE$166,7,0))),VLOOKUP(H64,Dades!$Y$148:$AE$166,7,0),"")</f>
        <v/>
      </c>
      <c r="M64" s="418"/>
      <c r="N64" s="57" t="str">
        <f t="shared" si="1"/>
        <v/>
      </c>
      <c r="O64" s="57" t="str">
        <f>IF(AND(ISNUMBER(I64),ISNUMBER(M64)),I64*M64,IF(AND(ISNUMBER(I64),ISNUMBER(J64)),I64*(J64+K64*Dades!$D$657+L64*Dades!$D$658),""))</f>
        <v/>
      </c>
      <c r="P64" s="482"/>
      <c r="Q64" s="483"/>
      <c r="R64" s="420"/>
      <c r="S64" s="421"/>
      <c r="T64" s="57" t="str">
        <f t="shared" si="2"/>
        <v/>
      </c>
      <c r="U64" s="57" t="str">
        <f>IF(ISNUMBER(O64),"",IF(IF(ISNUMBER(R64),(R64*S64*Dades!$AP$146)/1000,0)=0,"",IF(ISNUMBER(R64),(R64*S64*Dades!$AP$146)/1000,0)))</f>
        <v/>
      </c>
    </row>
    <row r="65" spans="1:22" s="59" customFormat="1" ht="13.5" customHeight="1" x14ac:dyDescent="0.3">
      <c r="A65" s="41"/>
      <c r="B65" s="13"/>
      <c r="C65" s="13"/>
      <c r="D65" s="41"/>
      <c r="E65" s="415"/>
      <c r="F65" s="395" t="str">
        <f>IF(E65="","",IF(VLOOKUP(E65,'0_Dades generals organització'!$H$53:$L$300,3,FALSE)="","",VLOOKUP(E65,'0_Dades generals organització'!$H$53:$L$300,3,FALSE)))</f>
        <v/>
      </c>
      <c r="G65" s="419"/>
      <c r="H65" s="416"/>
      <c r="I65" s="420"/>
      <c r="J65" s="56" t="str">
        <f>IF(OR(ISNUMBER(VLOOKUP(H65,Dades!$D$148:$N$166,Dades!$F$2-2009,0)),ISTEXT(VLOOKUP(H65,Dades!$D$148:$N$166,Dades!$F$2-2009,0))),VLOOKUP(H65,Dades!$D$148:$N$166,Dades!$F$2-2009,0),"")</f>
        <v/>
      </c>
      <c r="K65" s="381" t="str">
        <f>IF(OR(ISNUMBER(VLOOKUP(H65,Dades!$Y$148:$AE$166,6,0)),ISTEXT(VLOOKUP(H65,Dades!$Y$148:$AE$166,6,0))),VLOOKUP(H65,Dades!$Y$148:$AE$166,6,0),"")</f>
        <v/>
      </c>
      <c r="L65" s="381" t="str">
        <f>IF(OR(ISNUMBER(VLOOKUP(H65,Dades!$Y$148:$AE$166,7,0)),ISTEXT(VLOOKUP(H65,Dades!$Y$148:$AE$166,7,0))),VLOOKUP(H65,Dades!$Y$148:$AE$166,7,0),"")</f>
        <v/>
      </c>
      <c r="M65" s="418"/>
      <c r="N65" s="57" t="str">
        <f t="shared" si="1"/>
        <v/>
      </c>
      <c r="O65" s="57" t="str">
        <f>IF(AND(ISNUMBER(I65),ISNUMBER(M65)),I65*M65,IF(AND(ISNUMBER(I65),ISNUMBER(J65)),I65*(J65+K65*Dades!$D$657+L65*Dades!$D$658),""))</f>
        <v/>
      </c>
      <c r="P65" s="482"/>
      <c r="Q65" s="483"/>
      <c r="R65" s="420"/>
      <c r="S65" s="421"/>
      <c r="T65" s="57" t="str">
        <f t="shared" si="2"/>
        <v/>
      </c>
      <c r="U65" s="57" t="str">
        <f>IF(ISNUMBER(O65),"",IF(IF(ISNUMBER(R65),(R65*S65*Dades!$AP$146)/1000,0)=0,"",IF(ISNUMBER(R65),(R65*S65*Dades!$AP$146)/1000,0)))</f>
        <v/>
      </c>
    </row>
    <row r="66" spans="1:22" s="59" customFormat="1" ht="16.5" x14ac:dyDescent="0.3">
      <c r="A66" s="41"/>
      <c r="B66" s="13"/>
      <c r="C66" s="13"/>
      <c r="D66" s="41"/>
      <c r="E66" s="415"/>
      <c r="F66" s="395" t="str">
        <f>IF(E66="","",IF(VLOOKUP(E66,'0_Dades generals organització'!$H$53:$L$300,3,FALSE)="","",VLOOKUP(E66,'0_Dades generals organització'!$H$53:$L$300,3,FALSE)))</f>
        <v/>
      </c>
      <c r="G66" s="419"/>
      <c r="H66" s="416"/>
      <c r="I66" s="420"/>
      <c r="J66" s="56" t="str">
        <f>IF(OR(ISNUMBER(VLOOKUP(H66,Dades!$D$148:$N$166,Dades!$F$2-2009,0)),ISTEXT(VLOOKUP(H66,Dades!$D$148:$N$166,Dades!$F$2-2009,0))),VLOOKUP(H66,Dades!$D$148:$N$166,Dades!$F$2-2009,0),"")</f>
        <v/>
      </c>
      <c r="K66" s="381" t="str">
        <f>IF(OR(ISNUMBER(VLOOKUP(H66,Dades!$Y$148:$AE$166,6,0)),ISTEXT(VLOOKUP(H66,Dades!$Y$148:$AE$166,6,0))),VLOOKUP(H66,Dades!$Y$148:$AE$166,6,0),"")</f>
        <v/>
      </c>
      <c r="L66" s="381" t="str">
        <f>IF(OR(ISNUMBER(VLOOKUP(H66,Dades!$Y$148:$AE$166,7,0)),ISTEXT(VLOOKUP(H66,Dades!$Y$148:$AE$166,7,0))),VLOOKUP(H66,Dades!$Y$148:$AE$166,7,0),"")</f>
        <v/>
      </c>
      <c r="M66" s="418"/>
      <c r="N66" s="57" t="str">
        <f t="shared" si="1"/>
        <v/>
      </c>
      <c r="O66" s="57" t="str">
        <f>IF(AND(ISNUMBER(I66),ISNUMBER(M66)),I66*M66,IF(AND(ISNUMBER(I66),ISNUMBER(J66)),I66*(J66+K66*Dades!$D$657+L66*Dades!$D$658),""))</f>
        <v/>
      </c>
      <c r="P66" s="482"/>
      <c r="Q66" s="483"/>
      <c r="R66" s="420"/>
      <c r="S66" s="421"/>
      <c r="T66" s="57" t="str">
        <f t="shared" si="2"/>
        <v/>
      </c>
      <c r="U66" s="57" t="str">
        <f>IF(ISNUMBER(O66),"",IF(IF(ISNUMBER(R66),(R66*S66*Dades!$AP$146)/1000,0)=0,"",IF(ISNUMBER(R66),(R66*S66*Dades!$AP$146)/1000,0)))</f>
        <v/>
      </c>
    </row>
    <row r="67" spans="1:22" ht="16.5" x14ac:dyDescent="0.3">
      <c r="D67" s="41"/>
      <c r="E67" s="415"/>
      <c r="F67" s="395" t="str">
        <f>IF(E67="","",IF(VLOOKUP(E67,'0_Dades generals organització'!$H$53:$L$300,3,FALSE)="","",VLOOKUP(E67,'0_Dades generals organització'!$H$53:$L$300,3,FALSE)))</f>
        <v/>
      </c>
      <c r="G67" s="419"/>
      <c r="H67" s="416"/>
      <c r="I67" s="420"/>
      <c r="J67" s="56" t="str">
        <f>IF(OR(ISNUMBER(VLOOKUP(H67,Dades!$D$148:$N$166,Dades!$F$2-2009,0)),ISTEXT(VLOOKUP(H67,Dades!$D$148:$N$166,Dades!$F$2-2009,0))),VLOOKUP(H67,Dades!$D$148:$N$166,Dades!$F$2-2009,0),"")</f>
        <v/>
      </c>
      <c r="K67" s="381" t="str">
        <f>IF(OR(ISNUMBER(VLOOKUP(H67,Dades!$Y$148:$AE$166,6,0)),ISTEXT(VLOOKUP(H67,Dades!$Y$148:$AE$166,6,0))),VLOOKUP(H67,Dades!$Y$148:$AE$166,6,0),"")</f>
        <v/>
      </c>
      <c r="L67" s="381" t="str">
        <f>IF(OR(ISNUMBER(VLOOKUP(H67,Dades!$Y$148:$AE$166,7,0)),ISTEXT(VLOOKUP(H67,Dades!$Y$148:$AE$166,7,0))),VLOOKUP(H67,Dades!$Y$148:$AE$166,7,0),"")</f>
        <v/>
      </c>
      <c r="M67" s="418"/>
      <c r="N67" s="57" t="str">
        <f t="shared" si="1"/>
        <v/>
      </c>
      <c r="O67" s="57" t="str">
        <f>IF(AND(ISNUMBER(I67),ISNUMBER(M67)),I67*M67,IF(AND(ISNUMBER(I67),ISNUMBER(J67)),I67*(J67+K67*Dades!$D$657+L67*Dades!$D$658),""))</f>
        <v/>
      </c>
      <c r="P67" s="482"/>
      <c r="Q67" s="483"/>
      <c r="R67" s="420"/>
      <c r="S67" s="421"/>
      <c r="T67" s="57" t="str">
        <f t="shared" si="2"/>
        <v/>
      </c>
      <c r="U67" s="57" t="str">
        <f>IF(ISNUMBER(O67),"",IF(IF(ISNUMBER(R67),(R67*S67*Dades!$AP$146)/1000,0)=0,"",IF(ISNUMBER(R67),(R67*S67*Dades!$AP$146)/1000,0)))</f>
        <v/>
      </c>
      <c r="V67" s="59"/>
    </row>
    <row r="68" spans="1:22" ht="21.75" customHeight="1" x14ac:dyDescent="0.25">
      <c r="F68" s="41"/>
      <c r="G68" s="5"/>
      <c r="H68" s="60"/>
      <c r="N68" s="61">
        <f>SUM(N48:N67)</f>
        <v>0</v>
      </c>
      <c r="O68" s="61">
        <f>SUM(O48:O67)</f>
        <v>0</v>
      </c>
      <c r="T68" s="61">
        <f>SUM(T48:T67)</f>
        <v>0</v>
      </c>
      <c r="U68" s="61">
        <f>SUM(U48:U67)</f>
        <v>0</v>
      </c>
    </row>
    <row r="69" spans="1:22" x14ac:dyDescent="0.25">
      <c r="E69" s="62"/>
    </row>
    <row r="72" spans="1:22" ht="15" customHeight="1" x14ac:dyDescent="0.25"/>
    <row r="75" spans="1:22" ht="16.5" customHeight="1" x14ac:dyDescent="0.25"/>
    <row r="80" spans="1:22" ht="15" customHeight="1" x14ac:dyDescent="0.25"/>
    <row r="82" spans="6:18" ht="15" customHeight="1" x14ac:dyDescent="0.25"/>
    <row r="85" spans="6:18" ht="15" customHeight="1" x14ac:dyDescent="0.25"/>
    <row r="88" spans="6:18" x14ac:dyDescent="0.25">
      <c r="F88" s="63"/>
      <c r="G88" s="63"/>
      <c r="I88" s="63"/>
      <c r="J88" s="63"/>
      <c r="K88" s="63"/>
      <c r="L88" s="63"/>
      <c r="M88" s="63"/>
      <c r="N88" s="63"/>
      <c r="O88" s="63"/>
      <c r="P88" s="63"/>
      <c r="Q88" s="63"/>
      <c r="R88" s="63"/>
    </row>
    <row r="90" spans="6:18" hidden="1" x14ac:dyDescent="0.25"/>
    <row r="91" spans="6:18" hidden="1" x14ac:dyDescent="0.25">
      <c r="O91" s="64">
        <f>O18</f>
        <v>0</v>
      </c>
    </row>
    <row r="92" spans="6:18" hidden="1" x14ac:dyDescent="0.25">
      <c r="O92" s="64">
        <f>V53</f>
        <v>0</v>
      </c>
    </row>
    <row r="150" spans="6:18" ht="15" customHeight="1" x14ac:dyDescent="0.25"/>
    <row r="152" spans="6:18" ht="16.5" x14ac:dyDescent="0.25">
      <c r="F152" s="65"/>
      <c r="G152" s="65"/>
      <c r="H152" s="65"/>
      <c r="I152" s="65"/>
      <c r="J152" s="65"/>
      <c r="K152" s="65"/>
      <c r="L152" s="65"/>
      <c r="M152" s="65"/>
      <c r="N152" s="65"/>
      <c r="O152" s="65"/>
      <c r="P152" s="65"/>
      <c r="Q152" s="65"/>
      <c r="R152" s="65"/>
    </row>
    <row r="153" spans="6:18" ht="16.5" x14ac:dyDescent="0.25">
      <c r="F153" s="65"/>
      <c r="G153" s="65"/>
      <c r="H153" s="65"/>
      <c r="I153" s="65"/>
      <c r="J153" s="65"/>
      <c r="K153" s="65"/>
      <c r="L153" s="65"/>
      <c r="M153" s="65"/>
      <c r="N153" s="65"/>
      <c r="O153" s="65"/>
      <c r="P153" s="65"/>
      <c r="Q153" s="65"/>
      <c r="R153" s="65"/>
    </row>
  </sheetData>
  <sheetProtection sheet="1" objects="1" scenarios="1"/>
  <mergeCells count="62">
    <mergeCell ref="P63:Q63"/>
    <mergeCell ref="P64:Q64"/>
    <mergeCell ref="P65:Q65"/>
    <mergeCell ref="P66:Q66"/>
    <mergeCell ref="P67:Q67"/>
    <mergeCell ref="P58:Q58"/>
    <mergeCell ref="P59:Q59"/>
    <mergeCell ref="P60:Q60"/>
    <mergeCell ref="P61:Q61"/>
    <mergeCell ref="P62:Q62"/>
    <mergeCell ref="P53:Q53"/>
    <mergeCell ref="P54:Q54"/>
    <mergeCell ref="P55:Q55"/>
    <mergeCell ref="P56:Q56"/>
    <mergeCell ref="P57:Q57"/>
    <mergeCell ref="V49:V52"/>
    <mergeCell ref="P47:Q47"/>
    <mergeCell ref="F44:F46"/>
    <mergeCell ref="E44:E46"/>
    <mergeCell ref="D41:V41"/>
    <mergeCell ref="G44:O44"/>
    <mergeCell ref="P44:U44"/>
    <mergeCell ref="E43:V43"/>
    <mergeCell ref="T45:T46"/>
    <mergeCell ref="S45:S46"/>
    <mergeCell ref="P48:Q48"/>
    <mergeCell ref="P49:Q49"/>
    <mergeCell ref="P50:Q50"/>
    <mergeCell ref="P51:Q51"/>
    <mergeCell ref="P52:Q52"/>
    <mergeCell ref="D12:V12"/>
    <mergeCell ref="C1:W1"/>
    <mergeCell ref="V44:V46"/>
    <mergeCell ref="U45:U46"/>
    <mergeCell ref="P45:Q46"/>
    <mergeCell ref="O45:O46"/>
    <mergeCell ref="E40:R40"/>
    <mergeCell ref="G45:G46"/>
    <mergeCell ref="J45:J46"/>
    <mergeCell ref="K45:K46"/>
    <mergeCell ref="L45:L46"/>
    <mergeCell ref="R45:R46"/>
    <mergeCell ref="N45:N46"/>
    <mergeCell ref="M45:M46"/>
    <mergeCell ref="I45:I46"/>
    <mergeCell ref="H45:H46"/>
    <mergeCell ref="O19:O21"/>
    <mergeCell ref="E3:R4"/>
    <mergeCell ref="E7:R8"/>
    <mergeCell ref="E11:R11"/>
    <mergeCell ref="E15:E16"/>
    <mergeCell ref="F15:F16"/>
    <mergeCell ref="G15:G16"/>
    <mergeCell ref="H15:H16"/>
    <mergeCell ref="K15:K16"/>
    <mergeCell ref="L15:L16"/>
    <mergeCell ref="M15:M16"/>
    <mergeCell ref="I15:I16"/>
    <mergeCell ref="J15:J16"/>
    <mergeCell ref="E14:O14"/>
    <mergeCell ref="N15:N16"/>
    <mergeCell ref="O15:O16"/>
  </mergeCells>
  <dataValidations count="5">
    <dataValidation type="decimal" operator="greaterThan" allowBlank="1" showInputMessage="1" showErrorMessage="1" sqref="H18:H39 I48:I67">
      <formula1>0</formula1>
      <formula2>0</formula2>
    </dataValidation>
    <dataValidation type="decimal" allowBlank="1" showInputMessage="1" showErrorMessage="1" sqref="M48:M67 L18:L39">
      <formula1>0</formula1>
      <formula2>10</formula2>
    </dataValidation>
    <dataValidation type="decimal" allowBlank="1" showInputMessage="1" showErrorMessage="1" sqref="R48:R67">
      <formula1>0</formula1>
      <formula2>100000000</formula2>
    </dataValidation>
    <dataValidation type="decimal" allowBlank="1" showInputMessage="1" showErrorMessage="1" sqref="S48:S67">
      <formula1>0</formula1>
      <formula2>500</formula2>
    </dataValidation>
    <dataValidation type="custom" allowBlank="1" showInputMessage="1" showErrorMessage="1" error="El valor queda fuera del rango" sqref="R68">
      <formula1>IF(AND(#REF!&lt;=#REF!,#REF!&gt;=#REF!),#REF!,"El valor queda fuera del rango")</formula1>
      <formula2>0</formula2>
    </dataValidation>
  </dataValidations>
  <hyperlinks>
    <hyperlink ref="A3" location="'0_Dades generals organització'!A1" display="0. Dades de l'organització"/>
    <hyperlink ref="A5" location="'2_Fluorats'!A1" display="2. PC Abast 1: Fugues fluorats"/>
    <hyperlink ref="A6" location="'3_Emissions processos'!A1" display="3. PC Abast 1: Emissions procés"/>
    <hyperlink ref="A7" location="'4.1_Electricitat Illes Balears'!A1" display="4.1 PC 2: Electricitat I. Balears"/>
    <hyperlink ref="A8" location="'4.2_Electricitat Espanya'!A1" display="4.2 PC 2: Electricitat Espanya"/>
    <hyperlink ref="A11" location="'5_Informació addicional'!A1" display="5. Inf. addicional: renovables"/>
    <hyperlink ref="A12" location="'6.1_Resultats Illes Balears'!A1" display="6.1 Informe final: Resultats I. Balears"/>
    <hyperlink ref="A13" location="'6.2_Resultats Espanya'!A1" display="6.2 Informe final: Resultats Espanya"/>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INDIRECT("Lista_Comb_fósiles_fijos_"&amp;Dades!$F$2)</xm:f>
          </x14:formula1>
          <x14:formula2>
            <xm:f>0</xm:f>
          </x14:formula2>
          <xm:sqref>G18:G39</xm:sqref>
        </x14:dataValidation>
        <x14:dataValidation type="list" operator="equal" allowBlank="1" showInputMessage="1" showErrorMessage="1">
          <x14:formula1>
            <xm:f>INDIRECT("Lista_Comb_fósiles_vehículos_"&amp;Dades!$F$2)</xm:f>
          </x14:formula1>
          <xm:sqref>H48:H67</xm:sqref>
        </x14:dataValidation>
        <x14:dataValidation type="list" showInputMessage="1" showErrorMessage="1">
          <x14:formula1>
            <xm:f>'0_Dades generals organització'!$H$52:$H$302</xm:f>
          </x14:formula1>
          <xm:sqref>E18:E39 E48:E67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9"/>
  <sheetViews>
    <sheetView showRowColHeaders="0" zoomScaleNormal="100" workbookViewId="0">
      <pane xSplit="1" topLeftCell="B1" activePane="topRight" state="frozen"/>
      <selection pane="topRight" activeCell="C1" sqref="C1:R1"/>
    </sheetView>
  </sheetViews>
  <sheetFormatPr baseColWidth="10" defaultColWidth="9.140625" defaultRowHeight="16.5" x14ac:dyDescent="0.3"/>
  <cols>
    <col min="1" max="1" width="31.5703125" style="41" customWidth="1"/>
    <col min="2" max="2" width="1.85546875" style="13" customWidth="1"/>
    <col min="3" max="3" width="1" style="13" customWidth="1"/>
    <col min="4" max="4" width="1.5703125" style="2" customWidth="1"/>
    <col min="5" max="5" width="24.7109375" style="2" customWidth="1"/>
    <col min="6" max="7" width="21.7109375" style="2" customWidth="1"/>
    <col min="8" max="8" width="10.85546875" style="2" customWidth="1"/>
    <col min="9" max="9" width="14" style="2" customWidth="1"/>
    <col min="10" max="10" width="11.7109375" style="2" customWidth="1"/>
    <col min="11" max="11" width="33.7109375" style="66" customWidth="1"/>
    <col min="12" max="12" width="23.42578125" style="2" customWidth="1"/>
    <col min="13" max="13" width="10.28515625" style="2" customWidth="1"/>
    <col min="14" max="14" width="14" style="2" customWidth="1"/>
    <col min="15" max="16" width="17" style="2" customWidth="1"/>
    <col min="17" max="17" width="19.42578125" style="2" customWidth="1"/>
    <col min="18" max="18" width="3.5703125" style="2" customWidth="1"/>
    <col min="19" max="19" width="11.85546875" style="2" customWidth="1"/>
    <col min="20" max="1025" width="11.42578125" style="2"/>
  </cols>
  <sheetData>
    <row r="1" spans="1:31" s="26" customFormat="1" ht="39.4" customHeight="1" x14ac:dyDescent="0.2">
      <c r="A1" s="41"/>
      <c r="B1" s="14"/>
      <c r="C1" s="443" t="s">
        <v>892</v>
      </c>
      <c r="D1" s="443"/>
      <c r="E1" s="443"/>
      <c r="F1" s="443"/>
      <c r="G1" s="443"/>
      <c r="H1" s="443"/>
      <c r="I1" s="443"/>
      <c r="J1" s="443"/>
      <c r="K1" s="443"/>
      <c r="L1" s="443"/>
      <c r="M1" s="443"/>
      <c r="N1" s="443"/>
      <c r="O1" s="443"/>
      <c r="P1" s="443"/>
      <c r="Q1" s="443"/>
      <c r="R1" s="443"/>
      <c r="S1" s="27"/>
    </row>
    <row r="2" spans="1:31" s="26" customFormat="1" ht="39.4" customHeight="1" x14ac:dyDescent="0.25">
      <c r="A2" s="41"/>
      <c r="B2" s="14"/>
      <c r="C2" s="13"/>
      <c r="K2" s="27"/>
      <c r="L2" s="27"/>
      <c r="M2" s="27"/>
      <c r="N2" s="27"/>
      <c r="O2" s="27"/>
      <c r="P2" s="27"/>
      <c r="Q2" s="27"/>
      <c r="R2" s="27"/>
      <c r="S2" s="27"/>
    </row>
    <row r="3" spans="1:31" s="26" customFormat="1" ht="16.5" customHeight="1" x14ac:dyDescent="0.25">
      <c r="A3" s="17" t="s">
        <v>827</v>
      </c>
      <c r="B3" s="16"/>
      <c r="C3" s="13"/>
      <c r="E3" s="487" t="s">
        <v>891</v>
      </c>
      <c r="F3" s="487"/>
      <c r="G3" s="487"/>
      <c r="H3" s="487"/>
      <c r="I3" s="487"/>
      <c r="J3" s="487"/>
      <c r="K3" s="487"/>
      <c r="L3" s="487"/>
      <c r="M3" s="487"/>
      <c r="N3" s="487"/>
      <c r="O3" s="487"/>
      <c r="P3" s="487"/>
      <c r="Q3" s="487"/>
      <c r="R3" s="68"/>
      <c r="S3" s="69"/>
    </row>
    <row r="4" spans="1:31" s="26" customFormat="1" ht="16.5" customHeight="1" x14ac:dyDescent="0.3">
      <c r="A4" s="17" t="s">
        <v>828</v>
      </c>
      <c r="B4" s="16"/>
      <c r="C4" s="13"/>
      <c r="D4" s="70"/>
      <c r="E4" s="487"/>
      <c r="F4" s="487"/>
      <c r="G4" s="487"/>
      <c r="H4" s="487"/>
      <c r="I4" s="487"/>
      <c r="J4" s="487"/>
      <c r="K4" s="487"/>
      <c r="L4" s="487"/>
      <c r="M4" s="487"/>
      <c r="N4" s="487"/>
      <c r="O4" s="487"/>
      <c r="P4" s="487"/>
      <c r="Q4" s="487"/>
      <c r="R4" s="68"/>
      <c r="S4" s="69"/>
    </row>
    <row r="5" spans="1:31" s="26" customFormat="1" ht="16.5" customHeight="1" x14ac:dyDescent="0.25">
      <c r="A5" s="15" t="s">
        <v>829</v>
      </c>
      <c r="B5" s="16"/>
      <c r="C5" s="13"/>
      <c r="G5" s="71"/>
      <c r="H5" s="71"/>
      <c r="I5" s="71"/>
      <c r="J5" s="71"/>
      <c r="K5" s="71"/>
      <c r="L5" s="71"/>
      <c r="M5" s="71"/>
      <c r="N5" s="71"/>
      <c r="O5" s="71"/>
      <c r="P5" s="71"/>
      <c r="Q5" s="71"/>
      <c r="R5" s="71"/>
      <c r="S5" s="72"/>
    </row>
    <row r="6" spans="1:31" s="26" customFormat="1" ht="16.5" customHeight="1" x14ac:dyDescent="0.3">
      <c r="A6" s="17" t="s">
        <v>830</v>
      </c>
      <c r="B6" s="16"/>
      <c r="C6" s="13"/>
      <c r="E6" s="488" t="s">
        <v>893</v>
      </c>
      <c r="F6" s="488"/>
      <c r="G6" s="488"/>
      <c r="H6" s="488"/>
      <c r="I6" s="488"/>
      <c r="J6" s="488"/>
      <c r="K6" s="488"/>
      <c r="L6" s="488"/>
      <c r="M6" s="488"/>
      <c r="N6" s="488"/>
      <c r="O6" s="488"/>
      <c r="P6" s="488"/>
      <c r="Q6" s="488"/>
      <c r="R6" s="2"/>
      <c r="S6" s="72"/>
    </row>
    <row r="7" spans="1:31" ht="16.5" customHeight="1" x14ac:dyDescent="0.3">
      <c r="A7" s="17" t="s">
        <v>831</v>
      </c>
      <c r="B7" s="16"/>
      <c r="E7" s="488"/>
      <c r="F7" s="488"/>
      <c r="G7" s="488"/>
      <c r="H7" s="488"/>
      <c r="I7" s="488"/>
      <c r="J7" s="488"/>
      <c r="K7" s="488"/>
      <c r="L7" s="488"/>
      <c r="M7" s="488"/>
      <c r="N7" s="488"/>
      <c r="O7" s="488"/>
      <c r="P7" s="488"/>
      <c r="Q7" s="488"/>
      <c r="Z7" s="73"/>
      <c r="AA7" s="73"/>
    </row>
    <row r="8" spans="1:31" s="41" customFormat="1" ht="16.5" customHeight="1" x14ac:dyDescent="0.3">
      <c r="A8" s="17" t="s">
        <v>832</v>
      </c>
      <c r="B8" s="16"/>
      <c r="C8" s="13"/>
      <c r="E8" s="484" t="s">
        <v>894</v>
      </c>
      <c r="F8" s="484"/>
      <c r="G8" s="484"/>
      <c r="H8" s="484"/>
      <c r="I8" s="484"/>
      <c r="J8" s="484"/>
      <c r="K8" s="484"/>
      <c r="L8" s="464" t="s">
        <v>898</v>
      </c>
      <c r="M8" s="464" t="s">
        <v>899</v>
      </c>
      <c r="N8" s="464" t="s">
        <v>900</v>
      </c>
      <c r="O8" s="464" t="s">
        <v>901</v>
      </c>
      <c r="P8" s="464" t="s">
        <v>902</v>
      </c>
      <c r="Q8" s="464" t="s">
        <v>903</v>
      </c>
      <c r="R8" s="2"/>
      <c r="T8" s="26"/>
      <c r="V8" s="26"/>
      <c r="W8" s="26"/>
      <c r="X8" s="26"/>
      <c r="Y8" s="26"/>
      <c r="Z8" s="26"/>
      <c r="AA8" s="26"/>
      <c r="AB8" s="26"/>
      <c r="AC8" s="26"/>
      <c r="AD8" s="26"/>
      <c r="AE8" s="26"/>
    </row>
    <row r="9" spans="1:31" s="41" customFormat="1" ht="16.5" customHeight="1" x14ac:dyDescent="0.3">
      <c r="A9" s="17" t="s">
        <v>833</v>
      </c>
      <c r="B9" s="13"/>
      <c r="C9" s="13"/>
      <c r="E9" s="464" t="s">
        <v>849</v>
      </c>
      <c r="F9" s="464" t="s">
        <v>1009</v>
      </c>
      <c r="G9" s="464" t="s">
        <v>895</v>
      </c>
      <c r="H9" s="484" t="s">
        <v>27</v>
      </c>
      <c r="I9" s="464" t="s">
        <v>896</v>
      </c>
      <c r="J9" s="464"/>
      <c r="K9" s="464" t="s">
        <v>897</v>
      </c>
      <c r="L9" s="464"/>
      <c r="M9" s="464"/>
      <c r="N9" s="464"/>
      <c r="O9" s="464"/>
      <c r="P9" s="464"/>
      <c r="Q9" s="464"/>
      <c r="R9" s="2"/>
      <c r="T9" s="26"/>
      <c r="V9" s="26"/>
      <c r="W9" s="26"/>
      <c r="X9" s="26"/>
      <c r="Y9" s="26"/>
      <c r="Z9" s="26"/>
      <c r="AA9" s="26"/>
      <c r="AB9" s="26"/>
      <c r="AC9" s="26"/>
      <c r="AD9" s="26"/>
      <c r="AE9" s="26"/>
    </row>
    <row r="10" spans="1:31" s="41" customFormat="1" ht="15.75" customHeight="1" x14ac:dyDescent="0.3">
      <c r="A10" s="17" t="s">
        <v>834</v>
      </c>
      <c r="B10" s="13"/>
      <c r="C10" s="13"/>
      <c r="E10" s="464"/>
      <c r="F10" s="489"/>
      <c r="G10" s="464"/>
      <c r="H10" s="464"/>
      <c r="I10" s="51" t="s">
        <v>814</v>
      </c>
      <c r="J10" s="51" t="s">
        <v>27</v>
      </c>
      <c r="K10" s="464"/>
      <c r="L10" s="464"/>
      <c r="M10" s="464"/>
      <c r="N10" s="464"/>
      <c r="O10" s="464"/>
      <c r="P10" s="464"/>
      <c r="Q10" s="464"/>
      <c r="R10" s="2"/>
      <c r="T10" s="26"/>
      <c r="V10" s="26"/>
      <c r="W10" s="26"/>
      <c r="X10" s="26"/>
      <c r="Y10" s="26"/>
      <c r="Z10" s="26"/>
      <c r="AA10" s="26"/>
      <c r="AB10" s="26"/>
      <c r="AC10" s="26"/>
      <c r="AD10" s="26"/>
      <c r="AE10" s="26"/>
    </row>
    <row r="11" spans="1:31" s="41" customFormat="1" ht="12" hidden="1" customHeight="1" x14ac:dyDescent="0.3">
      <c r="A11" s="47"/>
      <c r="B11" s="13"/>
      <c r="C11" s="13"/>
      <c r="E11" s="52" t="s">
        <v>849</v>
      </c>
      <c r="F11" s="52"/>
      <c r="G11" s="53"/>
      <c r="H11" s="53"/>
      <c r="I11" s="54"/>
      <c r="J11" s="54"/>
      <c r="K11" s="54"/>
      <c r="L11" s="74"/>
      <c r="M11" s="54"/>
      <c r="N11" s="54"/>
      <c r="O11" s="52" t="s">
        <v>18</v>
      </c>
      <c r="P11" s="52" t="s">
        <v>19</v>
      </c>
      <c r="Q11" s="54"/>
      <c r="R11" s="2"/>
      <c r="T11" s="26"/>
      <c r="V11" s="26"/>
      <c r="W11" s="26"/>
      <c r="X11" s="26"/>
      <c r="Y11" s="26"/>
      <c r="Z11" s="26"/>
      <c r="AA11" s="26"/>
      <c r="AB11" s="26"/>
      <c r="AC11" s="26"/>
      <c r="AD11" s="26"/>
      <c r="AE11" s="26"/>
    </row>
    <row r="12" spans="1:31" x14ac:dyDescent="0.3">
      <c r="A12" s="17" t="s">
        <v>835</v>
      </c>
      <c r="E12" s="415"/>
      <c r="F12" s="395" t="str">
        <f>IF(E12="","",IF(VLOOKUP(E12,'0_Dades generals organització'!$H$53:$L$300,3,FALSE)="","",VLOOKUP(E12,'0_Dades generals organització'!$H$53:$L$300,3,FALSE)))</f>
        <v/>
      </c>
      <c r="G12" s="416"/>
      <c r="H12" s="75" t="str">
        <f>IF(ISNUMBER(VLOOKUP(G12,Dades!$E$171:$G$215,3,0)),VLOOKUP(G12,Dades!$E$171:$G$215,3,0),"")</f>
        <v/>
      </c>
      <c r="I12" s="422"/>
      <c r="J12" s="423"/>
      <c r="K12" s="55" t="str">
        <f>IF(G12="","",VLOOKUP(G12,Dades!$E$171:$F$215,2,0))</f>
        <v/>
      </c>
      <c r="L12" s="416"/>
      <c r="M12" s="424"/>
      <c r="N12" s="424"/>
      <c r="O12" s="57" t="str">
        <f t="shared" ref="O12:O33" si="0">IF(OR(F12="Sí",F12=""),P12,"")</f>
        <v/>
      </c>
      <c r="P12" s="57" t="str">
        <f t="shared" ref="P12:P33" si="1">IF(AND(H12="",N12=""),"",IF(H12="",ROUND((J12*N12),0),ROUND((H12*N12),0)))</f>
        <v/>
      </c>
      <c r="Q12" s="76">
        <f>SUM(O12:O33)</f>
        <v>0</v>
      </c>
      <c r="T12" s="26"/>
      <c r="V12" s="26"/>
      <c r="W12" s="26"/>
      <c r="X12" s="26"/>
      <c r="Y12" s="26"/>
      <c r="Z12" s="26"/>
      <c r="AA12" s="26"/>
      <c r="AB12" s="26"/>
      <c r="AC12" s="26"/>
      <c r="AD12" s="26"/>
      <c r="AE12" s="26"/>
    </row>
    <row r="13" spans="1:31" ht="15" customHeight="1" x14ac:dyDescent="0.3">
      <c r="A13" s="17"/>
      <c r="E13" s="415"/>
      <c r="F13" s="395" t="str">
        <f>IF(E13="","",IF(VLOOKUP(E13,'0_Dades generals organització'!$H$53:$L$300,3,FALSE)="","",VLOOKUP(E13,'0_Dades generals organització'!$H$53:$L$300,3,FALSE)))</f>
        <v/>
      </c>
      <c r="G13" s="416"/>
      <c r="H13" s="75" t="str">
        <f>IF(ISNUMBER(VLOOKUP(G13,Dades!$E$171:$G$215,3,0)),VLOOKUP(G13,Dades!$E$171:$G$215,3,0),"")</f>
        <v/>
      </c>
      <c r="I13" s="422"/>
      <c r="J13" s="423"/>
      <c r="K13" s="55" t="str">
        <f>IF(G13="","",VLOOKUP(G13,Dades!$E$171:$F$215,2,0))</f>
        <v/>
      </c>
      <c r="L13" s="416"/>
      <c r="M13" s="424"/>
      <c r="N13" s="424"/>
      <c r="O13" s="57" t="str">
        <f t="shared" si="0"/>
        <v/>
      </c>
      <c r="P13" s="57" t="str">
        <f t="shared" si="1"/>
        <v/>
      </c>
      <c r="Q13" s="464" t="s">
        <v>904</v>
      </c>
      <c r="T13" s="26"/>
      <c r="V13" s="26"/>
      <c r="W13" s="26"/>
      <c r="X13" s="26"/>
      <c r="Y13" s="26"/>
      <c r="Z13" s="26"/>
      <c r="AA13" s="26"/>
      <c r="AB13" s="26"/>
      <c r="AC13" s="26"/>
      <c r="AD13" s="26"/>
      <c r="AE13" s="26"/>
    </row>
    <row r="14" spans="1:31" ht="15" customHeight="1" x14ac:dyDescent="0.3">
      <c r="A14" s="17"/>
      <c r="E14" s="415"/>
      <c r="F14" s="395" t="str">
        <f>IF(E14="","",IF(VLOOKUP(E14,'0_Dades generals organització'!$H$53:$L$300,3,FALSE)="","",VLOOKUP(E14,'0_Dades generals organització'!$H$53:$L$300,3,FALSE)))</f>
        <v/>
      </c>
      <c r="G14" s="416"/>
      <c r="H14" s="75" t="str">
        <f>IF(ISNUMBER(VLOOKUP(G14,Dades!$E$171:$G$215,3,0)),VLOOKUP(G14,Dades!$E$171:$G$215,3,0),"")</f>
        <v/>
      </c>
      <c r="I14" s="422"/>
      <c r="J14" s="423"/>
      <c r="K14" s="55" t="str">
        <f>IF(G14="","",VLOOKUP(G14,Dades!$E$171:$F$215,2,0))</f>
        <v/>
      </c>
      <c r="L14" s="416"/>
      <c r="M14" s="424"/>
      <c r="N14" s="424"/>
      <c r="O14" s="57" t="str">
        <f t="shared" si="0"/>
        <v/>
      </c>
      <c r="P14" s="57" t="str">
        <f t="shared" si="1"/>
        <v/>
      </c>
      <c r="Q14" s="464"/>
      <c r="T14" s="26"/>
      <c r="V14" s="26"/>
      <c r="W14" s="26"/>
      <c r="X14" s="26"/>
      <c r="Y14" s="26"/>
      <c r="Z14" s="26"/>
      <c r="AA14" s="26"/>
      <c r="AB14" s="26"/>
      <c r="AC14" s="26"/>
      <c r="AD14" s="26"/>
      <c r="AE14" s="26"/>
    </row>
    <row r="15" spans="1:31" ht="15" customHeight="1" x14ac:dyDescent="0.3">
      <c r="A15" s="17"/>
      <c r="E15" s="415"/>
      <c r="F15" s="395" t="str">
        <f>IF(E15="","",IF(VLOOKUP(E15,'0_Dades generals organització'!$H$53:$L$300,3,FALSE)="","",VLOOKUP(E15,'0_Dades generals organització'!$H$53:$L$300,3,FALSE)))</f>
        <v/>
      </c>
      <c r="G15" s="416"/>
      <c r="H15" s="75" t="str">
        <f>IF(ISNUMBER(VLOOKUP(G15,Dades!$E$171:$G$215,3,0)),VLOOKUP(G15,Dades!$E$171:$G$215,3,0),"")</f>
        <v/>
      </c>
      <c r="I15" s="422"/>
      <c r="J15" s="423"/>
      <c r="K15" s="55" t="str">
        <f>IF(G15="","",VLOOKUP(G15,Dades!$E$171:$F$215,2,0))</f>
        <v/>
      </c>
      <c r="L15" s="416"/>
      <c r="M15" s="424"/>
      <c r="N15" s="424"/>
      <c r="O15" s="57" t="str">
        <f t="shared" si="0"/>
        <v/>
      </c>
      <c r="P15" s="57" t="str">
        <f t="shared" si="1"/>
        <v/>
      </c>
      <c r="Q15" s="464"/>
      <c r="T15" s="26"/>
      <c r="V15" s="26"/>
      <c r="W15" s="26"/>
      <c r="X15" s="26"/>
      <c r="Y15" s="26"/>
      <c r="Z15" s="26"/>
      <c r="AA15" s="26"/>
      <c r="AB15" s="26"/>
      <c r="AC15" s="26"/>
      <c r="AD15" s="26"/>
      <c r="AE15" s="26"/>
    </row>
    <row r="16" spans="1:31" ht="15" customHeight="1" x14ac:dyDescent="0.3">
      <c r="A16" s="17"/>
      <c r="E16" s="415"/>
      <c r="F16" s="395" t="str">
        <f>IF(E16="","",IF(VLOOKUP(E16,'0_Dades generals organització'!$H$53:$L$300,3,FALSE)="","",VLOOKUP(E16,'0_Dades generals organització'!$H$53:$L$300,3,FALSE)))</f>
        <v/>
      </c>
      <c r="G16" s="416"/>
      <c r="H16" s="75" t="str">
        <f>IF(ISNUMBER(VLOOKUP(G16,Dades!$E$171:$G$215,3,0)),VLOOKUP(G16,Dades!$E$171:$G$215,3,0),"")</f>
        <v/>
      </c>
      <c r="I16" s="422"/>
      <c r="J16" s="423"/>
      <c r="K16" s="55" t="str">
        <f>IF(G16="","",VLOOKUP(G16,Dades!$E$171:$F$215,2,0))</f>
        <v/>
      </c>
      <c r="L16" s="416"/>
      <c r="M16" s="424"/>
      <c r="N16" s="424"/>
      <c r="O16" s="57" t="str">
        <f t="shared" si="0"/>
        <v/>
      </c>
      <c r="P16" s="57" t="str">
        <f t="shared" si="1"/>
        <v/>
      </c>
      <c r="Q16" s="76">
        <f>SUM(P12:P33)</f>
        <v>0</v>
      </c>
      <c r="T16" s="26"/>
      <c r="V16" s="26"/>
      <c r="W16" s="26"/>
      <c r="X16" s="26"/>
      <c r="Y16" s="26"/>
      <c r="Z16" s="26"/>
      <c r="AA16" s="26"/>
      <c r="AB16" s="26"/>
      <c r="AC16" s="26"/>
      <c r="AD16" s="26"/>
      <c r="AE16" s="26"/>
    </row>
    <row r="17" spans="1:31" ht="15" customHeight="1" x14ac:dyDescent="0.3">
      <c r="A17" s="17"/>
      <c r="E17" s="415"/>
      <c r="F17" s="395" t="str">
        <f>IF(E17="","",IF(VLOOKUP(E17,'0_Dades generals organització'!$H$53:$L$300,3,FALSE)="","",VLOOKUP(E17,'0_Dades generals organització'!$H$53:$L$300,3,FALSE)))</f>
        <v/>
      </c>
      <c r="G17" s="416"/>
      <c r="H17" s="75" t="str">
        <f>IF(ISNUMBER(VLOOKUP(G17,Dades!$E$171:$G$215,3,0)),VLOOKUP(G17,Dades!$E$171:$G$215,3,0),"")</f>
        <v/>
      </c>
      <c r="I17" s="422"/>
      <c r="J17" s="423"/>
      <c r="K17" s="55" t="str">
        <f>IF(G17="","",VLOOKUP(G17,Dades!$E$171:$F$215,2,0))</f>
        <v/>
      </c>
      <c r="L17" s="416"/>
      <c r="M17" s="424"/>
      <c r="N17" s="424"/>
      <c r="O17" s="57" t="str">
        <f t="shared" si="0"/>
        <v/>
      </c>
      <c r="P17" s="57" t="str">
        <f t="shared" si="1"/>
        <v/>
      </c>
      <c r="Q17" s="77"/>
      <c r="T17" s="26"/>
      <c r="V17" s="26"/>
      <c r="W17" s="26"/>
      <c r="X17" s="26"/>
      <c r="Y17" s="26"/>
      <c r="Z17" s="26"/>
      <c r="AA17" s="26"/>
      <c r="AB17" s="26"/>
      <c r="AC17" s="26"/>
      <c r="AD17" s="26"/>
      <c r="AE17" s="26"/>
    </row>
    <row r="18" spans="1:31" ht="15" customHeight="1" x14ac:dyDescent="0.3">
      <c r="A18" s="17"/>
      <c r="E18" s="415"/>
      <c r="F18" s="395" t="str">
        <f>IF(E18="","",IF(VLOOKUP(E18,'0_Dades generals organització'!$H$53:$L$300,3,FALSE)="","",VLOOKUP(E18,'0_Dades generals organització'!$H$53:$L$300,3,FALSE)))</f>
        <v/>
      </c>
      <c r="G18" s="416"/>
      <c r="H18" s="75" t="str">
        <f>IF(ISNUMBER(VLOOKUP(G18,Dades!$E$171:$G$215,3,0)),VLOOKUP(G18,Dades!$E$171:$G$215,3,0),"")</f>
        <v/>
      </c>
      <c r="I18" s="422"/>
      <c r="J18" s="423"/>
      <c r="K18" s="55" t="str">
        <f>IF(G18="","",VLOOKUP(G18,Dades!$E$171:$F$215,2,0))</f>
        <v/>
      </c>
      <c r="L18" s="416"/>
      <c r="M18" s="424"/>
      <c r="N18" s="424"/>
      <c r="O18" s="57" t="str">
        <f t="shared" si="0"/>
        <v/>
      </c>
      <c r="P18" s="57" t="str">
        <f t="shared" si="1"/>
        <v/>
      </c>
      <c r="Q18" s="78"/>
      <c r="T18" s="26"/>
      <c r="V18" s="26"/>
      <c r="W18" s="26"/>
      <c r="X18" s="26"/>
      <c r="Y18" s="26"/>
      <c r="Z18" s="26"/>
      <c r="AA18" s="26"/>
      <c r="AB18" s="26"/>
      <c r="AC18" s="26"/>
      <c r="AD18" s="26"/>
      <c r="AE18" s="26"/>
    </row>
    <row r="19" spans="1:31" ht="15" customHeight="1" x14ac:dyDescent="0.3">
      <c r="A19" s="17"/>
      <c r="E19" s="415"/>
      <c r="F19" s="395" t="str">
        <f>IF(E19="","",IF(VLOOKUP(E19,'0_Dades generals organització'!$H$53:$L$300,3,FALSE)="","",VLOOKUP(E19,'0_Dades generals organització'!$H$53:$L$300,3,FALSE)))</f>
        <v/>
      </c>
      <c r="G19" s="416"/>
      <c r="H19" s="75" t="str">
        <f>IF(ISNUMBER(VLOOKUP(G19,Dades!$E$171:$G$215,3,0)),VLOOKUP(G19,Dades!$E$171:$G$215,3,0),"")</f>
        <v/>
      </c>
      <c r="I19" s="422"/>
      <c r="J19" s="423"/>
      <c r="K19" s="55" t="str">
        <f>IF(G19="","",VLOOKUP(G19,Dades!$E$171:$F$215,2,0))</f>
        <v/>
      </c>
      <c r="L19" s="416"/>
      <c r="M19" s="424"/>
      <c r="N19" s="424"/>
      <c r="O19" s="57" t="str">
        <f t="shared" si="0"/>
        <v/>
      </c>
      <c r="P19" s="57" t="str">
        <f t="shared" si="1"/>
        <v/>
      </c>
      <c r="Q19" s="78"/>
      <c r="T19" s="26"/>
      <c r="V19" s="26"/>
      <c r="W19" s="26"/>
      <c r="X19" s="26"/>
      <c r="Y19" s="26"/>
      <c r="Z19" s="26"/>
      <c r="AA19" s="26"/>
      <c r="AB19" s="26"/>
      <c r="AC19" s="26"/>
      <c r="AD19" s="26"/>
      <c r="AE19" s="26"/>
    </row>
    <row r="20" spans="1:31" ht="15" customHeight="1" x14ac:dyDescent="0.3">
      <c r="A20" s="17"/>
      <c r="E20" s="415"/>
      <c r="F20" s="395" t="str">
        <f>IF(E20="","",IF(VLOOKUP(E20,'0_Dades generals organització'!$H$53:$L$300,3,FALSE)="","",VLOOKUP(E20,'0_Dades generals organització'!$H$53:$L$300,3,FALSE)))</f>
        <v/>
      </c>
      <c r="G20" s="416"/>
      <c r="H20" s="75" t="str">
        <f>IF(ISNUMBER(VLOOKUP(G20,Dades!$E$171:$G$215,3,0)),VLOOKUP(G20,Dades!$E$171:$G$215,3,0),"")</f>
        <v/>
      </c>
      <c r="I20" s="422"/>
      <c r="J20" s="423"/>
      <c r="K20" s="55" t="str">
        <f>IF(G20="","",VLOOKUP(G20,Dades!$E$171:$F$215,2,0))</f>
        <v/>
      </c>
      <c r="L20" s="416"/>
      <c r="M20" s="424"/>
      <c r="N20" s="424"/>
      <c r="O20" s="57" t="str">
        <f t="shared" si="0"/>
        <v/>
      </c>
      <c r="P20" s="57" t="str">
        <f t="shared" si="1"/>
        <v/>
      </c>
      <c r="Q20" s="79"/>
      <c r="T20" s="26"/>
      <c r="V20" s="26"/>
      <c r="W20" s="26"/>
      <c r="X20" s="26"/>
      <c r="Y20" s="26"/>
      <c r="Z20" s="26"/>
      <c r="AA20" s="26"/>
      <c r="AB20" s="26"/>
      <c r="AC20" s="26"/>
      <c r="AD20" s="26"/>
      <c r="AE20" s="26"/>
    </row>
    <row r="21" spans="1:31" ht="15" customHeight="1" x14ac:dyDescent="0.3">
      <c r="A21" s="17"/>
      <c r="E21" s="415"/>
      <c r="F21" s="395" t="str">
        <f>IF(E21="","",IF(VLOOKUP(E21,'0_Dades generals organització'!$H$53:$L$300,3,FALSE)="","",VLOOKUP(E21,'0_Dades generals organització'!$H$53:$L$300,3,FALSE)))</f>
        <v/>
      </c>
      <c r="G21" s="416"/>
      <c r="H21" s="75" t="str">
        <f>IF(ISNUMBER(VLOOKUP(G21,Dades!$E$171:$G$215,3,0)),VLOOKUP(G21,Dades!$E$171:$G$215,3,0),"")</f>
        <v/>
      </c>
      <c r="I21" s="422"/>
      <c r="J21" s="423"/>
      <c r="K21" s="55" t="str">
        <f>IF(G21="","",VLOOKUP(G21,Dades!$E$171:$F$215,2,0))</f>
        <v/>
      </c>
      <c r="L21" s="416"/>
      <c r="M21" s="424"/>
      <c r="N21" s="424"/>
      <c r="O21" s="57" t="str">
        <f t="shared" si="0"/>
        <v/>
      </c>
      <c r="P21" s="57" t="str">
        <f t="shared" si="1"/>
        <v/>
      </c>
      <c r="Q21" s="79"/>
      <c r="T21" s="26"/>
      <c r="V21" s="26"/>
      <c r="W21" s="26"/>
      <c r="X21" s="26"/>
      <c r="Y21" s="26"/>
      <c r="Z21" s="26"/>
      <c r="AA21" s="26"/>
      <c r="AB21" s="26"/>
      <c r="AC21" s="26"/>
      <c r="AD21" s="26"/>
      <c r="AE21" s="26"/>
    </row>
    <row r="22" spans="1:31" ht="15" customHeight="1" x14ac:dyDescent="0.3">
      <c r="A22" s="17"/>
      <c r="E22" s="415"/>
      <c r="F22" s="395" t="str">
        <f>IF(E22="","",IF(VLOOKUP(E22,'0_Dades generals organització'!$H$53:$L$300,3,FALSE)="","",VLOOKUP(E22,'0_Dades generals organització'!$H$53:$L$300,3,FALSE)))</f>
        <v/>
      </c>
      <c r="G22" s="416"/>
      <c r="H22" s="75" t="str">
        <f>IF(ISNUMBER(VLOOKUP(G22,Dades!$E$171:$G$215,3,0)),VLOOKUP(G22,Dades!$E$171:$G$215,3,0),"")</f>
        <v/>
      </c>
      <c r="I22" s="422"/>
      <c r="J22" s="423"/>
      <c r="K22" s="55" t="str">
        <f>IF(G22="","",VLOOKUP(G22,Dades!$E$171:$F$215,2,0))</f>
        <v/>
      </c>
      <c r="L22" s="416"/>
      <c r="M22" s="424"/>
      <c r="N22" s="424"/>
      <c r="O22" s="57" t="str">
        <f t="shared" si="0"/>
        <v/>
      </c>
      <c r="P22" s="57" t="str">
        <f t="shared" si="1"/>
        <v/>
      </c>
      <c r="Q22" s="79"/>
      <c r="T22" s="26"/>
      <c r="V22" s="26"/>
      <c r="W22" s="26"/>
      <c r="X22" s="26"/>
      <c r="Y22" s="26"/>
      <c r="Z22" s="26"/>
      <c r="AA22" s="26"/>
      <c r="AB22" s="26"/>
      <c r="AC22" s="26"/>
      <c r="AD22" s="26"/>
      <c r="AE22" s="26"/>
    </row>
    <row r="23" spans="1:31" ht="15" customHeight="1" x14ac:dyDescent="0.3">
      <c r="A23" s="80"/>
      <c r="E23" s="415"/>
      <c r="F23" s="395" t="str">
        <f>IF(E23="","",IF(VLOOKUP(E23,'0_Dades generals organització'!$H$53:$L$300,3,FALSE)="","",VLOOKUP(E23,'0_Dades generals organització'!$H$53:$L$300,3,FALSE)))</f>
        <v/>
      </c>
      <c r="G23" s="416"/>
      <c r="H23" s="75" t="str">
        <f>IF(ISNUMBER(VLOOKUP(G23,Dades!$E$171:$G$215,3,0)),VLOOKUP(G23,Dades!$E$171:$G$215,3,0),"")</f>
        <v/>
      </c>
      <c r="I23" s="422"/>
      <c r="J23" s="423"/>
      <c r="K23" s="55" t="str">
        <f>IF(G23="","",VLOOKUP(G23,Dades!$E$171:$F$215,2,0))</f>
        <v/>
      </c>
      <c r="L23" s="416"/>
      <c r="M23" s="424"/>
      <c r="N23" s="424"/>
      <c r="O23" s="57" t="str">
        <f t="shared" si="0"/>
        <v/>
      </c>
      <c r="P23" s="57" t="str">
        <f t="shared" si="1"/>
        <v/>
      </c>
      <c r="Q23" s="79"/>
      <c r="T23" s="26"/>
      <c r="V23" s="26"/>
      <c r="W23" s="26"/>
      <c r="X23" s="26"/>
      <c r="Y23" s="26"/>
      <c r="Z23" s="26"/>
      <c r="AA23" s="26"/>
      <c r="AB23" s="26"/>
      <c r="AC23" s="26"/>
      <c r="AD23" s="26"/>
      <c r="AE23" s="26"/>
    </row>
    <row r="24" spans="1:31" ht="15" customHeight="1" x14ac:dyDescent="0.3">
      <c r="A24" s="17"/>
      <c r="E24" s="415"/>
      <c r="F24" s="395" t="str">
        <f>IF(E24="","",IF(VLOOKUP(E24,'0_Dades generals organització'!$H$53:$L$300,3,FALSE)="","",VLOOKUP(E24,'0_Dades generals organització'!$H$53:$L$300,3,FALSE)))</f>
        <v/>
      </c>
      <c r="G24" s="416"/>
      <c r="H24" s="75" t="str">
        <f>IF(ISNUMBER(VLOOKUP(G24,Dades!$E$171:$G$215,3,0)),VLOOKUP(G24,Dades!$E$171:$G$215,3,0),"")</f>
        <v/>
      </c>
      <c r="I24" s="422"/>
      <c r="J24" s="423"/>
      <c r="K24" s="55" t="str">
        <f>IF(G24="","",VLOOKUP(G24,Dades!$E$171:$F$215,2,0))</f>
        <v/>
      </c>
      <c r="L24" s="416"/>
      <c r="M24" s="424"/>
      <c r="N24" s="424"/>
      <c r="O24" s="57" t="str">
        <f t="shared" si="0"/>
        <v/>
      </c>
      <c r="P24" s="57" t="str">
        <f t="shared" si="1"/>
        <v/>
      </c>
      <c r="Q24" s="79"/>
      <c r="T24" s="26"/>
      <c r="V24" s="26"/>
      <c r="W24" s="26"/>
      <c r="X24" s="26"/>
      <c r="Y24" s="26"/>
      <c r="Z24" s="26"/>
      <c r="AA24" s="26"/>
      <c r="AB24" s="26"/>
      <c r="AC24" s="26"/>
      <c r="AD24" s="26"/>
      <c r="AE24" s="26"/>
    </row>
    <row r="25" spans="1:31" ht="15" customHeight="1" x14ac:dyDescent="0.3">
      <c r="A25" s="47"/>
      <c r="E25" s="415"/>
      <c r="F25" s="395" t="str">
        <f>IF(E25="","",IF(VLOOKUP(E25,'0_Dades generals organització'!$H$53:$L$300,3,FALSE)="","",VLOOKUP(E25,'0_Dades generals organització'!$H$53:$L$300,3,FALSE)))</f>
        <v/>
      </c>
      <c r="G25" s="416"/>
      <c r="H25" s="75" t="str">
        <f>IF(ISNUMBER(VLOOKUP(G25,Dades!$E$171:$G$215,3,0)),VLOOKUP(G25,Dades!$E$171:$G$215,3,0),"")</f>
        <v/>
      </c>
      <c r="I25" s="422"/>
      <c r="J25" s="423"/>
      <c r="K25" s="55" t="str">
        <f>IF(G25="","",VLOOKUP(G25,Dades!$E$171:$F$215,2,0))</f>
        <v/>
      </c>
      <c r="L25" s="416"/>
      <c r="M25" s="424"/>
      <c r="N25" s="424"/>
      <c r="O25" s="57" t="str">
        <f t="shared" si="0"/>
        <v/>
      </c>
      <c r="P25" s="57" t="str">
        <f t="shared" si="1"/>
        <v/>
      </c>
      <c r="Q25" s="79"/>
      <c r="T25" s="26"/>
      <c r="V25" s="26"/>
      <c r="W25" s="26"/>
      <c r="X25" s="26"/>
      <c r="Y25" s="26"/>
      <c r="Z25" s="26"/>
      <c r="AA25" s="26"/>
      <c r="AB25" s="26"/>
      <c r="AC25" s="26"/>
      <c r="AD25" s="26"/>
      <c r="AE25" s="26"/>
    </row>
    <row r="26" spans="1:31" ht="15" customHeight="1" x14ac:dyDescent="0.3">
      <c r="A26" s="47"/>
      <c r="E26" s="415"/>
      <c r="F26" s="395" t="str">
        <f>IF(E26="","",IF(VLOOKUP(E26,'0_Dades generals organització'!$H$53:$L$300,3,FALSE)="","",VLOOKUP(E26,'0_Dades generals organització'!$H$53:$L$300,3,FALSE)))</f>
        <v/>
      </c>
      <c r="G26" s="416"/>
      <c r="H26" s="75" t="str">
        <f>IF(ISNUMBER(VLOOKUP(G26,Dades!$E$171:$G$215,3,0)),VLOOKUP(G26,Dades!$E$171:$G$215,3,0),"")</f>
        <v/>
      </c>
      <c r="I26" s="422"/>
      <c r="J26" s="423"/>
      <c r="K26" s="55" t="str">
        <f>IF(G26="","",VLOOKUP(G26,Dades!$E$171:$F$215,2,0))</f>
        <v/>
      </c>
      <c r="L26" s="416"/>
      <c r="M26" s="424"/>
      <c r="N26" s="424"/>
      <c r="O26" s="57" t="str">
        <f t="shared" si="0"/>
        <v/>
      </c>
      <c r="P26" s="57" t="str">
        <f t="shared" si="1"/>
        <v/>
      </c>
      <c r="Q26" s="79"/>
      <c r="T26" s="26"/>
      <c r="V26" s="26"/>
      <c r="W26" s="26"/>
      <c r="X26" s="26"/>
      <c r="Y26" s="26"/>
      <c r="Z26" s="26"/>
      <c r="AA26" s="26"/>
      <c r="AB26" s="26"/>
      <c r="AC26" s="26"/>
      <c r="AD26" s="26"/>
      <c r="AE26" s="26"/>
    </row>
    <row r="27" spans="1:31" ht="15" customHeight="1" x14ac:dyDescent="0.3">
      <c r="A27" s="47"/>
      <c r="E27" s="415"/>
      <c r="F27" s="395" t="str">
        <f>IF(E27="","",IF(VLOOKUP(E27,'0_Dades generals organització'!$H$53:$L$300,3,FALSE)="","",VLOOKUP(E27,'0_Dades generals organització'!$H$53:$L$300,3,FALSE)))</f>
        <v/>
      </c>
      <c r="G27" s="416"/>
      <c r="H27" s="75" t="str">
        <f>IF(ISNUMBER(VLOOKUP(G27,Dades!$E$171:$G$215,3,0)),VLOOKUP(G27,Dades!$E$171:$G$215,3,0),"")</f>
        <v/>
      </c>
      <c r="I27" s="422"/>
      <c r="J27" s="423"/>
      <c r="K27" s="55" t="str">
        <f>IF(G27="","",VLOOKUP(G27,Dades!$E$171:$F$215,2,0))</f>
        <v/>
      </c>
      <c r="L27" s="416"/>
      <c r="M27" s="424"/>
      <c r="N27" s="424"/>
      <c r="O27" s="57" t="str">
        <f t="shared" si="0"/>
        <v/>
      </c>
      <c r="P27" s="57" t="str">
        <f t="shared" si="1"/>
        <v/>
      </c>
      <c r="Q27" s="79"/>
      <c r="T27" s="26"/>
      <c r="V27" s="26"/>
      <c r="W27" s="26"/>
      <c r="X27" s="26"/>
      <c r="Y27" s="26"/>
      <c r="Z27" s="26"/>
      <c r="AA27" s="26"/>
      <c r="AB27" s="26"/>
      <c r="AC27" s="26"/>
      <c r="AD27" s="26"/>
      <c r="AE27" s="26"/>
    </row>
    <row r="28" spans="1:31" ht="15" customHeight="1" x14ac:dyDescent="0.3">
      <c r="A28" s="47"/>
      <c r="E28" s="415"/>
      <c r="F28" s="395" t="str">
        <f>IF(E28="","",IF(VLOOKUP(E28,'0_Dades generals organització'!$H$53:$L$300,3,FALSE)="","",VLOOKUP(E28,'0_Dades generals organització'!$H$53:$L$300,3,FALSE)))</f>
        <v/>
      </c>
      <c r="G28" s="416"/>
      <c r="H28" s="75" t="str">
        <f>IF(ISNUMBER(VLOOKUP(G28,Dades!$E$171:$G$215,3,0)),VLOOKUP(G28,Dades!$E$171:$G$215,3,0),"")</f>
        <v/>
      </c>
      <c r="I28" s="422"/>
      <c r="J28" s="423"/>
      <c r="K28" s="55" t="str">
        <f>IF(G28="","",VLOOKUP(G28,Dades!$E$171:$F$215,2,0))</f>
        <v/>
      </c>
      <c r="L28" s="416"/>
      <c r="M28" s="424"/>
      <c r="N28" s="424"/>
      <c r="O28" s="57" t="str">
        <f t="shared" si="0"/>
        <v/>
      </c>
      <c r="P28" s="57" t="str">
        <f t="shared" si="1"/>
        <v/>
      </c>
      <c r="Q28" s="79"/>
      <c r="T28" s="26"/>
      <c r="V28" s="26"/>
      <c r="W28" s="26"/>
      <c r="X28" s="26"/>
      <c r="Y28" s="26"/>
      <c r="Z28" s="26"/>
      <c r="AA28" s="26"/>
      <c r="AB28" s="26"/>
      <c r="AC28" s="26"/>
      <c r="AD28" s="26"/>
      <c r="AE28" s="26"/>
    </row>
    <row r="29" spans="1:31" ht="15" customHeight="1" x14ac:dyDescent="0.3">
      <c r="A29" s="47"/>
      <c r="E29" s="415"/>
      <c r="F29" s="395" t="str">
        <f>IF(E29="","",IF(VLOOKUP(E29,'0_Dades generals organització'!$H$53:$L$300,3,FALSE)="","",VLOOKUP(E29,'0_Dades generals organització'!$H$53:$L$300,3,FALSE)))</f>
        <v/>
      </c>
      <c r="G29" s="416"/>
      <c r="H29" s="75" t="str">
        <f>IF(ISNUMBER(VLOOKUP(G29,Dades!$E$171:$G$215,3,0)),VLOOKUP(G29,Dades!$E$171:$G$215,3,0),"")</f>
        <v/>
      </c>
      <c r="I29" s="422"/>
      <c r="J29" s="423"/>
      <c r="K29" s="55" t="str">
        <f>IF(G29="","",VLOOKUP(G29,Dades!$E$171:$F$215,2,0))</f>
        <v/>
      </c>
      <c r="L29" s="416"/>
      <c r="M29" s="424"/>
      <c r="N29" s="424"/>
      <c r="O29" s="57" t="str">
        <f t="shared" si="0"/>
        <v/>
      </c>
      <c r="P29" s="57" t="str">
        <f t="shared" si="1"/>
        <v/>
      </c>
      <c r="Q29" s="79"/>
      <c r="T29" s="26"/>
      <c r="V29" s="26"/>
      <c r="W29" s="26"/>
      <c r="X29" s="26"/>
      <c r="Y29" s="26"/>
      <c r="Z29" s="26"/>
      <c r="AA29" s="26"/>
      <c r="AB29" s="26"/>
      <c r="AC29" s="26"/>
      <c r="AD29" s="26"/>
      <c r="AE29" s="26"/>
    </row>
    <row r="30" spans="1:31" ht="15" customHeight="1" x14ac:dyDescent="0.3">
      <c r="A30" s="47"/>
      <c r="E30" s="415"/>
      <c r="F30" s="395" t="str">
        <f>IF(E30="","",IF(VLOOKUP(E30,'0_Dades generals organització'!$H$53:$L$300,3,FALSE)="","",VLOOKUP(E30,'0_Dades generals organització'!$H$53:$L$300,3,FALSE)))</f>
        <v/>
      </c>
      <c r="G30" s="416"/>
      <c r="H30" s="75" t="str">
        <f>IF(ISNUMBER(VLOOKUP(G30,Dades!$E$171:$G$215,3,0)),VLOOKUP(G30,Dades!$E$171:$G$215,3,0),"")</f>
        <v/>
      </c>
      <c r="I30" s="422"/>
      <c r="J30" s="423"/>
      <c r="K30" s="55" t="str">
        <f>IF(G30="","",VLOOKUP(G30,Dades!$E$171:$F$215,2,0))</f>
        <v/>
      </c>
      <c r="L30" s="416"/>
      <c r="M30" s="424"/>
      <c r="N30" s="424"/>
      <c r="O30" s="57" t="str">
        <f t="shared" si="0"/>
        <v/>
      </c>
      <c r="P30" s="57" t="str">
        <f t="shared" si="1"/>
        <v/>
      </c>
      <c r="Q30" s="79"/>
      <c r="T30" s="26"/>
      <c r="V30" s="26"/>
      <c r="W30" s="26"/>
      <c r="X30" s="26"/>
      <c r="Y30" s="26"/>
      <c r="Z30" s="26"/>
      <c r="AA30" s="26"/>
      <c r="AB30" s="26"/>
      <c r="AC30" s="26"/>
      <c r="AD30" s="26"/>
      <c r="AE30" s="26"/>
    </row>
    <row r="31" spans="1:31" ht="15" customHeight="1" x14ac:dyDescent="0.3">
      <c r="A31" s="47"/>
      <c r="E31" s="415"/>
      <c r="F31" s="395" t="str">
        <f>IF(E31="","",IF(VLOOKUP(E31,'0_Dades generals organització'!$H$53:$L$300,3,FALSE)="","",VLOOKUP(E31,'0_Dades generals organització'!$H$53:$L$300,3,FALSE)))</f>
        <v/>
      </c>
      <c r="G31" s="416"/>
      <c r="H31" s="75" t="str">
        <f>IF(ISNUMBER(VLOOKUP(G31,Dades!$E$171:$G$215,3,0)),VLOOKUP(G31,Dades!$E$171:$G$215,3,0),"")</f>
        <v/>
      </c>
      <c r="I31" s="422"/>
      <c r="J31" s="423"/>
      <c r="K31" s="55" t="str">
        <f>IF(G31="","",VLOOKUP(G31,Dades!$E$171:$F$215,2,0))</f>
        <v/>
      </c>
      <c r="L31" s="416"/>
      <c r="M31" s="424"/>
      <c r="N31" s="424"/>
      <c r="O31" s="57" t="str">
        <f t="shared" si="0"/>
        <v/>
      </c>
      <c r="P31" s="57" t="str">
        <f t="shared" si="1"/>
        <v/>
      </c>
      <c r="Q31" s="79"/>
      <c r="T31" s="26"/>
      <c r="V31" s="26"/>
      <c r="W31" s="26"/>
      <c r="X31" s="26"/>
      <c r="Y31" s="26"/>
      <c r="Z31" s="26"/>
      <c r="AA31" s="26"/>
      <c r="AB31" s="26"/>
      <c r="AC31" s="26"/>
      <c r="AD31" s="26"/>
      <c r="AE31" s="26"/>
    </row>
    <row r="32" spans="1:31" ht="15" customHeight="1" x14ac:dyDescent="0.3">
      <c r="A32" s="47"/>
      <c r="E32" s="415"/>
      <c r="F32" s="395" t="str">
        <f>IF(E32="","",IF(VLOOKUP(E32,'0_Dades generals organització'!$H$53:$L$300,3,FALSE)="","",VLOOKUP(E32,'0_Dades generals organització'!$H$53:$L$300,3,FALSE)))</f>
        <v/>
      </c>
      <c r="G32" s="416"/>
      <c r="H32" s="75" t="str">
        <f>IF(ISNUMBER(VLOOKUP(G32,Dades!$E$171:$G$215,3,0)),VLOOKUP(G32,Dades!$E$171:$G$215,3,0),"")</f>
        <v/>
      </c>
      <c r="I32" s="422"/>
      <c r="J32" s="423"/>
      <c r="K32" s="55" t="str">
        <f>IF(G32="","",VLOOKUP(G32,Dades!$E$171:$F$215,2,0))</f>
        <v/>
      </c>
      <c r="L32" s="416"/>
      <c r="M32" s="424"/>
      <c r="N32" s="424"/>
      <c r="O32" s="57" t="str">
        <f t="shared" si="0"/>
        <v/>
      </c>
      <c r="P32" s="57" t="str">
        <f t="shared" si="1"/>
        <v/>
      </c>
      <c r="Q32" s="79"/>
      <c r="T32" s="26"/>
      <c r="V32" s="26"/>
      <c r="W32" s="26"/>
      <c r="X32" s="26"/>
      <c r="Y32" s="26"/>
      <c r="Z32" s="26"/>
      <c r="AA32" s="26"/>
      <c r="AB32" s="26"/>
      <c r="AC32" s="26"/>
      <c r="AD32" s="26"/>
      <c r="AE32" s="26"/>
    </row>
    <row r="33" spans="1:31" ht="15" customHeight="1" x14ac:dyDescent="0.3">
      <c r="A33" s="47"/>
      <c r="E33" s="415"/>
      <c r="F33" s="395" t="str">
        <f>IF(E33="","",IF(VLOOKUP(E33,'0_Dades generals organització'!$H$53:$L$300,3,FALSE)="","",VLOOKUP(E33,'0_Dades generals organització'!$H$53:$L$300,3,FALSE)))</f>
        <v/>
      </c>
      <c r="G33" s="416"/>
      <c r="H33" s="75" t="str">
        <f>IF(ISNUMBER(VLOOKUP(G33,Dades!$E$171:$G$215,3,0)),VLOOKUP(G33,Dades!$E$171:$G$215,3,0),"")</f>
        <v/>
      </c>
      <c r="I33" s="422"/>
      <c r="J33" s="423"/>
      <c r="K33" s="55" t="str">
        <f>IF(G33="","",VLOOKUP(G33,Dades!$E$171:$F$215,2,0))</f>
        <v/>
      </c>
      <c r="L33" s="416"/>
      <c r="M33" s="424"/>
      <c r="N33" s="424"/>
      <c r="O33" s="57" t="str">
        <f t="shared" si="0"/>
        <v/>
      </c>
      <c r="P33" s="57" t="str">
        <f t="shared" si="1"/>
        <v/>
      </c>
      <c r="Q33" s="79"/>
      <c r="T33" s="26"/>
      <c r="V33" s="26"/>
      <c r="W33" s="26"/>
      <c r="X33" s="26"/>
      <c r="Y33" s="26"/>
      <c r="Z33" s="26"/>
      <c r="AA33" s="26"/>
      <c r="AB33" s="26"/>
      <c r="AC33" s="26"/>
      <c r="AD33" s="26"/>
      <c r="AE33" s="26"/>
    </row>
    <row r="34" spans="1:31" ht="11.25" customHeight="1" x14ac:dyDescent="0.3">
      <c r="A34" s="47"/>
      <c r="K34" s="2"/>
      <c r="T34" s="26"/>
    </row>
    <row r="35" spans="1:31" ht="24" customHeight="1" x14ac:dyDescent="0.3">
      <c r="A35" s="47"/>
      <c r="E35" s="485" t="s">
        <v>905</v>
      </c>
      <c r="F35" s="485"/>
      <c r="G35" s="485"/>
      <c r="H35" s="485"/>
      <c r="I35" s="485"/>
      <c r="J35" s="485"/>
      <c r="K35" s="485"/>
      <c r="L35" s="485"/>
      <c r="M35" s="485"/>
      <c r="N35" s="485"/>
      <c r="O35" s="485"/>
      <c r="P35" s="485"/>
      <c r="Q35" s="485"/>
      <c r="T35" s="26"/>
      <c r="V35" s="26"/>
      <c r="W35" s="26"/>
      <c r="X35" s="26"/>
      <c r="Y35" s="26"/>
      <c r="Z35" s="26"/>
      <c r="AA35" s="26"/>
      <c r="AB35" s="26"/>
      <c r="AC35" s="26"/>
      <c r="AD35" s="26"/>
      <c r="AE35" s="26"/>
    </row>
    <row r="36" spans="1:31" ht="24" customHeight="1" x14ac:dyDescent="0.3">
      <c r="E36" s="485"/>
      <c r="F36" s="485"/>
      <c r="G36" s="485"/>
      <c r="H36" s="485"/>
      <c r="I36" s="485"/>
      <c r="J36" s="485"/>
      <c r="K36" s="485"/>
      <c r="L36" s="485"/>
      <c r="M36" s="485"/>
      <c r="N36" s="485"/>
      <c r="O36" s="485"/>
      <c r="P36" s="485"/>
      <c r="Q36" s="485"/>
      <c r="T36" s="26"/>
    </row>
    <row r="37" spans="1:31" ht="10.5" customHeight="1" x14ac:dyDescent="0.3">
      <c r="A37" s="47"/>
      <c r="T37" s="26"/>
    </row>
    <row r="38" spans="1:31" ht="19.5" customHeight="1" x14ac:dyDescent="0.3">
      <c r="A38" s="47"/>
      <c r="E38" s="81" t="s">
        <v>906</v>
      </c>
      <c r="F38" s="81"/>
      <c r="K38" s="82"/>
      <c r="L38" s="82"/>
      <c r="M38" s="82"/>
      <c r="N38" s="82"/>
      <c r="O38" s="82"/>
      <c r="P38" s="82"/>
      <c r="R38" s="82"/>
      <c r="T38" s="26"/>
    </row>
    <row r="39" spans="1:31" ht="19.5" customHeight="1" x14ac:dyDescent="0.3">
      <c r="A39" s="47"/>
      <c r="H39" s="486"/>
      <c r="I39" s="486"/>
      <c r="J39" s="486"/>
      <c r="K39" s="486"/>
      <c r="L39" s="486"/>
      <c r="M39" s="486"/>
      <c r="N39" s="486"/>
      <c r="O39" s="486"/>
      <c r="P39" s="486"/>
      <c r="Q39" s="486"/>
      <c r="R39" s="486"/>
      <c r="T39" s="26"/>
    </row>
    <row r="40" spans="1:31" ht="19.5" customHeight="1" x14ac:dyDescent="0.3">
      <c r="A40" s="47"/>
      <c r="K40" s="2"/>
      <c r="T40" s="26"/>
    </row>
    <row r="41" spans="1:31" ht="19.5" customHeight="1" x14ac:dyDescent="0.3">
      <c r="A41" s="47"/>
      <c r="T41" s="26"/>
    </row>
    <row r="42" spans="1:31" ht="19.5" customHeight="1" x14ac:dyDescent="0.3">
      <c r="T42" s="26"/>
    </row>
    <row r="43" spans="1:31" ht="19.5" customHeight="1" x14ac:dyDescent="0.3">
      <c r="A43" s="26"/>
      <c r="B43" s="26"/>
      <c r="C43" s="26"/>
      <c r="T43" s="26"/>
    </row>
    <row r="44" spans="1:31" ht="19.5" customHeight="1" x14ac:dyDescent="0.3">
      <c r="A44" s="26"/>
      <c r="B44" s="26"/>
      <c r="C44" s="26"/>
      <c r="T44" s="26"/>
    </row>
    <row r="45" spans="1:31" ht="19.5" customHeight="1" x14ac:dyDescent="0.3">
      <c r="A45" s="26"/>
      <c r="B45" s="26"/>
      <c r="C45" s="26"/>
      <c r="T45" s="26"/>
    </row>
    <row r="46" spans="1:31" ht="19.5" customHeight="1" x14ac:dyDescent="0.3">
      <c r="A46" s="26"/>
      <c r="B46" s="26"/>
      <c r="C46" s="26"/>
      <c r="T46" s="26"/>
    </row>
    <row r="47" spans="1:31" ht="19.5" customHeight="1" x14ac:dyDescent="0.3">
      <c r="A47" s="26"/>
      <c r="B47" s="26"/>
      <c r="C47" s="26"/>
      <c r="T47" s="26"/>
    </row>
    <row r="48" spans="1:31" ht="19.5" customHeight="1" x14ac:dyDescent="0.3">
      <c r="A48" s="26"/>
      <c r="B48" s="26"/>
      <c r="C48" s="26"/>
      <c r="T48" s="26"/>
    </row>
    <row r="49" spans="1:20" ht="19.5" customHeight="1" x14ac:dyDescent="0.3">
      <c r="A49" s="26"/>
      <c r="B49" s="26"/>
      <c r="C49" s="26"/>
      <c r="T49" s="26"/>
    </row>
    <row r="50" spans="1:20" ht="19.5" customHeight="1" x14ac:dyDescent="0.3">
      <c r="A50" s="26"/>
      <c r="B50" s="26"/>
      <c r="C50" s="26"/>
    </row>
    <row r="51" spans="1:20" ht="19.5" customHeight="1" x14ac:dyDescent="0.3"/>
    <row r="52" spans="1:20" ht="19.5" customHeight="1" x14ac:dyDescent="0.3">
      <c r="H52" s="83"/>
      <c r="I52" s="83"/>
      <c r="J52" s="83"/>
      <c r="K52" s="83"/>
    </row>
    <row r="53" spans="1:20" ht="19.5" customHeight="1" x14ac:dyDescent="0.3">
      <c r="H53" s="83"/>
      <c r="I53" s="83"/>
      <c r="J53" s="83"/>
      <c r="K53" s="83"/>
    </row>
    <row r="54" spans="1:20" ht="19.5" customHeight="1" x14ac:dyDescent="0.3">
      <c r="H54" s="83"/>
      <c r="I54" s="83"/>
      <c r="J54" s="83"/>
      <c r="K54" s="83"/>
    </row>
    <row r="55" spans="1:20" ht="19.5" customHeight="1" x14ac:dyDescent="0.3">
      <c r="H55" s="83"/>
      <c r="I55" s="83"/>
      <c r="J55" s="83"/>
      <c r="K55" s="83"/>
    </row>
    <row r="56" spans="1:20" ht="19.5" customHeight="1" x14ac:dyDescent="0.3">
      <c r="H56" s="83"/>
      <c r="I56" s="83"/>
      <c r="J56" s="83"/>
      <c r="K56" s="83"/>
    </row>
    <row r="57" spans="1:20" ht="19.5" customHeight="1" x14ac:dyDescent="0.3">
      <c r="H57" s="83"/>
      <c r="I57" s="83"/>
      <c r="J57" s="83"/>
      <c r="K57" s="83"/>
    </row>
    <row r="58" spans="1:20" ht="19.5" customHeight="1" x14ac:dyDescent="0.3">
      <c r="H58" s="83"/>
      <c r="I58" s="83"/>
      <c r="J58" s="83"/>
      <c r="K58" s="83"/>
    </row>
    <row r="59" spans="1:20" ht="19.5" customHeight="1" x14ac:dyDescent="0.3">
      <c r="H59" s="83"/>
      <c r="I59" s="83"/>
      <c r="J59" s="83"/>
      <c r="K59" s="83"/>
    </row>
    <row r="60" spans="1:20" ht="19.5" customHeight="1" x14ac:dyDescent="0.3">
      <c r="H60" s="83"/>
      <c r="I60" s="83"/>
      <c r="J60" s="83"/>
      <c r="K60" s="83"/>
    </row>
    <row r="61" spans="1:20" ht="19.5" customHeight="1" x14ac:dyDescent="0.3">
      <c r="H61" s="83"/>
      <c r="I61" s="83"/>
      <c r="J61" s="83"/>
      <c r="K61" s="83"/>
    </row>
    <row r="62" spans="1:20" ht="19.5" customHeight="1" x14ac:dyDescent="0.3">
      <c r="H62" s="83"/>
      <c r="I62" s="83"/>
      <c r="J62" s="83"/>
      <c r="K62" s="83"/>
      <c r="L62" s="83"/>
      <c r="M62" s="83"/>
      <c r="N62" s="83"/>
      <c r="O62" s="83"/>
      <c r="P62" s="83"/>
      <c r="Q62" s="83"/>
      <c r="R62" s="83"/>
    </row>
    <row r="63" spans="1:20" ht="19.5" customHeight="1" x14ac:dyDescent="0.3">
      <c r="H63" s="83"/>
      <c r="I63" s="83"/>
      <c r="K63" s="83"/>
      <c r="L63" s="83"/>
      <c r="M63" s="83"/>
      <c r="N63" s="83"/>
      <c r="O63" s="83"/>
      <c r="P63" s="83"/>
      <c r="Q63" s="83"/>
      <c r="R63" s="83"/>
    </row>
    <row r="64" spans="1:20" ht="19.5" customHeight="1" x14ac:dyDescent="0.3">
      <c r="H64" s="83"/>
      <c r="I64" s="83"/>
      <c r="K64" s="2"/>
    </row>
    <row r="65" spans="8:18" ht="19.5" customHeight="1" x14ac:dyDescent="0.3">
      <c r="H65" s="83"/>
      <c r="I65" s="83"/>
      <c r="J65" s="84"/>
      <c r="K65" s="84"/>
      <c r="L65" s="84"/>
      <c r="M65" s="84"/>
      <c r="N65" s="84"/>
      <c r="O65" s="84"/>
      <c r="P65" s="84"/>
      <c r="Q65" s="84"/>
      <c r="R65" s="84"/>
    </row>
    <row r="66" spans="8:18" ht="19.5" customHeight="1" x14ac:dyDescent="0.3">
      <c r="H66" s="83"/>
      <c r="I66" s="83"/>
      <c r="J66" s="84"/>
      <c r="K66" s="84"/>
      <c r="L66" s="84"/>
      <c r="M66" s="84"/>
      <c r="N66" s="84"/>
      <c r="O66" s="84"/>
      <c r="P66" s="84"/>
      <c r="Q66" s="84"/>
      <c r="R66" s="84"/>
    </row>
    <row r="67" spans="8:18" ht="19.5" customHeight="1" x14ac:dyDescent="0.3">
      <c r="H67" s="83"/>
      <c r="I67" s="83"/>
      <c r="K67" s="2"/>
    </row>
    <row r="68" spans="8:18" ht="19.5" customHeight="1" x14ac:dyDescent="0.3">
      <c r="H68" s="83"/>
      <c r="I68" s="83"/>
    </row>
    <row r="69" spans="8:18" ht="19.5" customHeight="1" x14ac:dyDescent="0.3">
      <c r="H69" s="83"/>
      <c r="I69" s="83"/>
    </row>
    <row r="70" spans="8:18" ht="19.5" customHeight="1" x14ac:dyDescent="0.3">
      <c r="H70" s="83"/>
      <c r="I70" s="83"/>
    </row>
    <row r="71" spans="8:18" ht="19.5" customHeight="1" x14ac:dyDescent="0.3">
      <c r="H71" s="83"/>
      <c r="I71" s="83"/>
    </row>
    <row r="72" spans="8:18" ht="19.5" customHeight="1" x14ac:dyDescent="0.3">
      <c r="H72" s="83"/>
      <c r="I72" s="83"/>
    </row>
    <row r="73" spans="8:18" ht="19.5" customHeight="1" x14ac:dyDescent="0.3">
      <c r="H73" s="83"/>
      <c r="I73" s="83"/>
    </row>
    <row r="74" spans="8:18" ht="19.5" customHeight="1" x14ac:dyDescent="0.3">
      <c r="H74" s="83"/>
      <c r="I74" s="83"/>
    </row>
    <row r="75" spans="8:18" ht="19.5" customHeight="1" x14ac:dyDescent="0.3">
      <c r="H75" s="83"/>
      <c r="I75" s="83"/>
    </row>
    <row r="76" spans="8:18" ht="19.5" customHeight="1" x14ac:dyDescent="0.3"/>
    <row r="77" spans="8:18" ht="19.5" customHeight="1" x14ac:dyDescent="0.3"/>
    <row r="78" spans="8:18" ht="19.5" customHeight="1" x14ac:dyDescent="0.3"/>
    <row r="79" spans="8:18" ht="19.5" customHeight="1" x14ac:dyDescent="0.3"/>
    <row r="80" spans="8:18" ht="19.5" customHeight="1" x14ac:dyDescent="0.3"/>
    <row r="81" ht="19.5" customHeight="1" x14ac:dyDescent="0.3"/>
    <row r="82" ht="19.5" customHeight="1" x14ac:dyDescent="0.3"/>
    <row r="83" ht="19.5" customHeight="1" x14ac:dyDescent="0.3"/>
    <row r="84" ht="19.5" customHeight="1" x14ac:dyDescent="0.3"/>
    <row r="85" ht="19.5" customHeight="1" x14ac:dyDescent="0.3"/>
    <row r="86" ht="19.5" customHeight="1" x14ac:dyDescent="0.3"/>
    <row r="87" ht="19.5" customHeight="1" x14ac:dyDescent="0.3"/>
    <row r="88" ht="19.5" customHeight="1" x14ac:dyDescent="0.3"/>
    <row r="89" ht="19.5" customHeight="1" x14ac:dyDescent="0.3"/>
    <row r="90" ht="19.5" customHeight="1" x14ac:dyDescent="0.3"/>
    <row r="91" ht="19.5" customHeight="1" x14ac:dyDescent="0.3"/>
    <row r="98" hidden="1" x14ac:dyDescent="0.3"/>
    <row r="99" hidden="1" x14ac:dyDescent="0.3"/>
  </sheetData>
  <sheetProtection sheet="1" objects="1" scenarios="1"/>
  <mergeCells count="19">
    <mergeCell ref="H39:R39"/>
    <mergeCell ref="C1:R1"/>
    <mergeCell ref="E3:Q4"/>
    <mergeCell ref="E6:Q7"/>
    <mergeCell ref="E8:K8"/>
    <mergeCell ref="L8:L10"/>
    <mergeCell ref="M8:M10"/>
    <mergeCell ref="N8:N10"/>
    <mergeCell ref="O8:O10"/>
    <mergeCell ref="P8:P10"/>
    <mergeCell ref="Q8:Q10"/>
    <mergeCell ref="E9:E10"/>
    <mergeCell ref="F9:F10"/>
    <mergeCell ref="G9:G10"/>
    <mergeCell ref="H9:H10"/>
    <mergeCell ref="I9:J9"/>
    <mergeCell ref="K9:K10"/>
    <mergeCell ref="Q13:Q15"/>
    <mergeCell ref="E35:Q36"/>
  </mergeCells>
  <dataValidations count="6">
    <dataValidation type="list" operator="equal" allowBlank="1" showInputMessage="1" showErrorMessage="1" sqref="G12:G34">
      <formula1>NombrePrep</formula1>
      <formula2>0</formula2>
    </dataValidation>
    <dataValidation type="whole" operator="greaterThan" allowBlank="1" showInputMessage="1" showErrorMessage="1" sqref="J12:J34">
      <formula1>0</formula1>
      <formula2>0</formula2>
    </dataValidation>
    <dataValidation type="decimal" operator="greaterThanOrEqual" allowBlank="1" showInputMessage="1" showErrorMessage="1" sqref="M12:M34">
      <formula1>0</formula1>
      <formula2>0</formula2>
    </dataValidation>
    <dataValidation type="decimal" operator="greaterThan" allowBlank="1" showInputMessage="1" showErrorMessage="1" error="Este valor ha de ser igual o inferior al de la carga inicial del equipo." sqref="N34:O34">
      <formula1>0</formula1>
      <formula2>0</formula2>
    </dataValidation>
    <dataValidation type="decimal" allowBlank="1" showInputMessage="1" showErrorMessage="1" error="El valor ha de estar entre 0% y 100%" sqref="J52:J62">
      <formula1>#REF!</formula1>
      <formula2>#REF!</formula2>
    </dataValidation>
    <dataValidation type="decimal" allowBlank="1" showInputMessage="1" showErrorMessage="1" error="Aquest valor ha de ser igual o inferior al de la càrrega inicial de l'equip." sqref="N12:N33">
      <formula1>-0.1</formula1>
      <formula2>M12</formula2>
    </dataValidation>
  </dataValidations>
  <hyperlinks>
    <hyperlink ref="A3" location="'0_Dades generals organització'!A1" display="0. Dades de la organització"/>
    <hyperlink ref="A4" location="'1_Combustibles fòssils'!A1" display="1. PC Abast 1: Comb. fòssils"/>
    <hyperlink ref="A6" location="'3_Emissions processos'!A1" display="3. PC Abast 1: Emissions procés"/>
    <hyperlink ref="A7" location="'4.1_Electricitat Illes Balears'!A1" display="4.1 PC 2: Electricitat I. Balears"/>
    <hyperlink ref="A8" location="'4.2_Electricitat Espanya'!A1" display="4.2 PC 2: Electricitat Espanya"/>
    <hyperlink ref="A9" location="'5_Informació addicional'!A1" display="5. Inf. addicional: renovables"/>
    <hyperlink ref="A10" location="'6.1_Resultats Illes Balears'!A1" display="6.1 Informe final: Resultats I. Balears"/>
    <hyperlink ref="A12" location="'6.2_Resultats Espanya'!A1" display="6.2 Informe final: Resultats Espanya"/>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showInputMessage="1" showErrorMessage="1">
          <x14:formula1>
            <xm:f>'0_Dades generals organització'!$H$52:$H$302</xm:f>
          </x14:formula1>
          <xm:sqref>E12:E33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M223"/>
  <sheetViews>
    <sheetView showRowColHeaders="0" zoomScaleNormal="100" workbookViewId="0">
      <pane xSplit="1" topLeftCell="B1" activePane="topRight" state="frozen"/>
      <selection pane="topRight" activeCell="C1" sqref="C1:O1"/>
    </sheetView>
  </sheetViews>
  <sheetFormatPr baseColWidth="10" defaultColWidth="9.140625" defaultRowHeight="16.5" x14ac:dyDescent="0.3"/>
  <cols>
    <col min="1" max="1" width="31.85546875" style="13" customWidth="1"/>
    <col min="2" max="2" width="2" style="13" customWidth="1"/>
    <col min="3" max="3" width="1.5703125" style="13" customWidth="1"/>
    <col min="4" max="4" width="3.5703125" style="83" customWidth="1"/>
    <col min="5" max="5" width="26.28515625" style="83" customWidth="1"/>
    <col min="6" max="6" width="19.7109375" style="83" customWidth="1"/>
    <col min="7" max="7" width="51.42578125" style="83" customWidth="1"/>
    <col min="8" max="8" width="18.5703125" style="83" customWidth="1"/>
    <col min="9" max="9" width="17.5703125" style="83" customWidth="1"/>
    <col min="10" max="10" width="16.5703125" style="83" customWidth="1"/>
    <col min="11" max="11" width="19.5703125" style="83" customWidth="1"/>
    <col min="12" max="12" width="19.28515625" style="83" customWidth="1"/>
    <col min="13" max="13" width="18.28515625" style="83" customWidth="1"/>
    <col min="14" max="14" width="2.7109375" style="83" customWidth="1"/>
    <col min="15" max="15" width="2" style="83" customWidth="1"/>
    <col min="16" max="16" width="11.42578125" style="83"/>
    <col min="17" max="17" width="6.7109375" style="83" customWidth="1"/>
    <col min="18" max="18" width="7.140625" style="83" customWidth="1"/>
    <col min="19" max="22" width="10.7109375" style="83" customWidth="1"/>
    <col min="23" max="1027" width="11.42578125" style="83"/>
  </cols>
  <sheetData>
    <row r="1" spans="1:59" s="26" customFormat="1" ht="40.700000000000003" customHeight="1" x14ac:dyDescent="0.25">
      <c r="A1" s="13"/>
      <c r="B1" s="14"/>
      <c r="C1" s="444" t="s">
        <v>908</v>
      </c>
      <c r="D1" s="444"/>
      <c r="E1" s="444"/>
      <c r="F1" s="444"/>
      <c r="G1" s="444"/>
      <c r="H1" s="444"/>
      <c r="I1" s="444"/>
      <c r="J1" s="444"/>
      <c r="K1" s="444"/>
      <c r="L1" s="444"/>
      <c r="M1" s="444"/>
      <c r="N1" s="444"/>
      <c r="O1" s="444"/>
      <c r="P1" s="27"/>
      <c r="Q1" s="27"/>
      <c r="R1" s="27"/>
      <c r="S1" s="27"/>
    </row>
    <row r="2" spans="1:59" s="26" customFormat="1" ht="40.700000000000003" customHeight="1" x14ac:dyDescent="0.25">
      <c r="A2" s="13"/>
      <c r="B2" s="14"/>
      <c r="C2" s="13"/>
      <c r="H2" s="27"/>
      <c r="I2" s="27"/>
      <c r="J2" s="27"/>
      <c r="K2" s="27"/>
      <c r="L2" s="27"/>
      <c r="M2" s="27"/>
      <c r="N2" s="27"/>
      <c r="O2" s="27"/>
      <c r="P2" s="27"/>
      <c r="Q2" s="27"/>
      <c r="R2" s="27"/>
      <c r="S2" s="27"/>
    </row>
    <row r="3" spans="1:59" s="26" customFormat="1" ht="16.5" customHeight="1" x14ac:dyDescent="0.25">
      <c r="A3" s="17" t="s">
        <v>827</v>
      </c>
      <c r="B3" s="16"/>
      <c r="C3" s="13"/>
      <c r="D3" s="85"/>
      <c r="E3" s="490" t="s">
        <v>907</v>
      </c>
      <c r="F3" s="490"/>
      <c r="G3" s="490"/>
      <c r="H3" s="490"/>
      <c r="I3" s="490"/>
      <c r="J3" s="490"/>
      <c r="K3" s="490"/>
      <c r="L3" s="490"/>
      <c r="M3" s="490"/>
      <c r="N3" s="85"/>
      <c r="P3" s="27"/>
      <c r="Q3" s="27"/>
      <c r="R3" s="27"/>
      <c r="S3" s="27"/>
    </row>
    <row r="4" spans="1:59" s="26" customFormat="1" ht="16.5" customHeight="1" x14ac:dyDescent="0.25">
      <c r="A4" s="17" t="s">
        <v>828</v>
      </c>
      <c r="B4" s="16"/>
      <c r="C4" s="13"/>
      <c r="D4" s="85"/>
      <c r="E4" s="490"/>
      <c r="F4" s="490"/>
      <c r="G4" s="490"/>
      <c r="H4" s="490"/>
      <c r="I4" s="490"/>
      <c r="J4" s="490"/>
      <c r="K4" s="490"/>
      <c r="L4" s="490"/>
      <c r="M4" s="490"/>
      <c r="N4" s="85"/>
      <c r="P4" s="27"/>
      <c r="Q4" s="27"/>
      <c r="R4" s="27"/>
      <c r="S4" s="27"/>
    </row>
    <row r="5" spans="1:59" s="26" customFormat="1" ht="16.5" customHeight="1" x14ac:dyDescent="0.25">
      <c r="A5" s="17" t="s">
        <v>829</v>
      </c>
      <c r="B5" s="16"/>
      <c r="C5" s="13"/>
      <c r="D5" s="86"/>
      <c r="E5" s="490"/>
      <c r="F5" s="490"/>
      <c r="G5" s="490"/>
      <c r="H5" s="490"/>
      <c r="I5" s="490"/>
      <c r="J5" s="490"/>
      <c r="K5" s="490"/>
      <c r="L5" s="490"/>
      <c r="M5" s="490"/>
      <c r="N5" s="46"/>
      <c r="O5" s="46"/>
      <c r="P5" s="27"/>
      <c r="Q5" s="27"/>
      <c r="R5" s="27"/>
      <c r="S5" s="27"/>
    </row>
    <row r="6" spans="1:59" s="41" customFormat="1" ht="16.5" customHeight="1" x14ac:dyDescent="0.25">
      <c r="A6" s="15" t="s">
        <v>830</v>
      </c>
      <c r="B6" s="16"/>
      <c r="C6" s="13"/>
      <c r="D6" s="87"/>
      <c r="E6" s="490"/>
      <c r="F6" s="490"/>
      <c r="G6" s="490"/>
      <c r="H6" s="490"/>
      <c r="I6" s="490"/>
      <c r="J6" s="490"/>
      <c r="K6" s="490"/>
      <c r="L6" s="490"/>
      <c r="M6" s="490"/>
    </row>
    <row r="7" spans="1:59" s="41" customFormat="1" ht="16.5" customHeight="1" x14ac:dyDescent="0.3">
      <c r="A7" s="17" t="s">
        <v>831</v>
      </c>
      <c r="B7" s="16"/>
      <c r="C7" s="13"/>
      <c r="D7" s="67"/>
      <c r="E7" s="490"/>
      <c r="F7" s="490"/>
      <c r="G7" s="490"/>
      <c r="H7" s="490"/>
      <c r="I7" s="490"/>
      <c r="J7" s="490"/>
      <c r="K7" s="490"/>
      <c r="L7" s="490"/>
      <c r="M7" s="490"/>
      <c r="N7" s="88"/>
    </row>
    <row r="8" spans="1:59" s="41" customFormat="1" ht="16.5" customHeight="1" x14ac:dyDescent="0.3">
      <c r="A8" s="17" t="s">
        <v>832</v>
      </c>
      <c r="B8" s="16"/>
      <c r="C8" s="13"/>
      <c r="D8" s="67"/>
      <c r="E8" s="490"/>
      <c r="F8" s="490"/>
      <c r="G8" s="490"/>
      <c r="H8" s="490"/>
      <c r="I8" s="490"/>
      <c r="J8" s="490"/>
      <c r="K8" s="490"/>
      <c r="L8" s="490"/>
      <c r="M8" s="490"/>
      <c r="N8" s="88"/>
      <c r="O8" s="46"/>
    </row>
    <row r="9" spans="1:59" s="41" customFormat="1" ht="15" customHeight="1" x14ac:dyDescent="0.3">
      <c r="A9" s="17" t="s">
        <v>833</v>
      </c>
      <c r="B9" s="16"/>
      <c r="C9" s="13"/>
      <c r="D9" s="67"/>
      <c r="N9" s="88"/>
      <c r="O9" s="46"/>
    </row>
    <row r="10" spans="1:59" s="41" customFormat="1" ht="16.5" customHeight="1" x14ac:dyDescent="0.25">
      <c r="A10" s="17" t="s">
        <v>834</v>
      </c>
      <c r="B10" s="13"/>
      <c r="C10" s="13"/>
      <c r="D10" s="34"/>
      <c r="E10" s="491" t="s">
        <v>909</v>
      </c>
      <c r="F10" s="492"/>
      <c r="G10" s="492"/>
      <c r="H10" s="492"/>
      <c r="I10" s="492"/>
      <c r="J10" s="492"/>
      <c r="K10" s="492"/>
      <c r="L10" s="492"/>
      <c r="M10" s="493"/>
      <c r="N10" s="88"/>
      <c r="O10" s="46"/>
    </row>
    <row r="11" spans="1:59" s="2" customFormat="1" ht="16.5" customHeight="1" x14ac:dyDescent="0.3">
      <c r="A11" s="17" t="s">
        <v>835</v>
      </c>
      <c r="B11" s="13"/>
      <c r="C11" s="13"/>
      <c r="D11" s="34"/>
      <c r="E11" s="464" t="s">
        <v>910</v>
      </c>
      <c r="F11" s="464" t="s">
        <v>1009</v>
      </c>
      <c r="G11" s="464" t="s">
        <v>911</v>
      </c>
      <c r="H11" s="464" t="s">
        <v>912</v>
      </c>
      <c r="I11" s="464" t="s">
        <v>913</v>
      </c>
      <c r="J11" s="464" t="s">
        <v>765</v>
      </c>
      <c r="K11" s="465" t="s">
        <v>856</v>
      </c>
      <c r="L11" s="465" t="s">
        <v>902</v>
      </c>
      <c r="M11" s="464" t="s">
        <v>1016</v>
      </c>
      <c r="N11" s="88"/>
      <c r="O11" s="46"/>
    </row>
    <row r="12" spans="1:59" s="2" customFormat="1" ht="30.75" customHeight="1" x14ac:dyDescent="0.3">
      <c r="B12" s="13"/>
      <c r="C12" s="13"/>
      <c r="D12" s="34"/>
      <c r="E12" s="464"/>
      <c r="F12" s="489"/>
      <c r="G12" s="464" t="str">
        <f>IF(ISNUMBER('0_Dades generals organització'!G2),"","Introduzca previamente el AÑO DE CÁLCULO en la pestaña 1")</f>
        <v>Introduzca previamente el AÑO DE CÁLCULO en la pestaña 1</v>
      </c>
      <c r="H12" s="464"/>
      <c r="I12" s="464"/>
      <c r="J12" s="464"/>
      <c r="K12" s="466"/>
      <c r="L12" s="466"/>
      <c r="M12" s="464"/>
      <c r="N12" s="88"/>
      <c r="O12" s="46"/>
    </row>
    <row r="13" spans="1:59" s="2" customFormat="1" ht="18.75" hidden="1" customHeight="1" x14ac:dyDescent="0.3">
      <c r="A13" s="17"/>
      <c r="B13" s="13"/>
      <c r="C13" s="13"/>
      <c r="D13" s="34"/>
      <c r="E13" s="52" t="s">
        <v>849</v>
      </c>
      <c r="F13" s="52"/>
      <c r="G13" s="54"/>
      <c r="H13" s="54"/>
      <c r="I13" s="54"/>
      <c r="J13" s="89"/>
      <c r="K13" s="52" t="s">
        <v>18</v>
      </c>
      <c r="L13" s="52" t="s">
        <v>19</v>
      </c>
      <c r="M13" s="54"/>
      <c r="N13" s="88"/>
      <c r="O13" s="46"/>
    </row>
    <row r="14" spans="1:59" s="2" customFormat="1" ht="18.75" customHeight="1" x14ac:dyDescent="0.3">
      <c r="A14" s="17"/>
      <c r="B14" s="13"/>
      <c r="C14" s="13"/>
      <c r="D14" s="34"/>
      <c r="E14" s="415"/>
      <c r="F14" s="399" t="str">
        <f>IF(E14="","",IF(VLOOKUP(E14,'0_Dades generals organització'!$H$53:$L$300,3,FALSE)="","",VLOOKUP(E14,'0_Dades generals organització'!$H$53:$L$300,3,FALSE)))</f>
        <v/>
      </c>
      <c r="G14" s="425"/>
      <c r="H14" s="426"/>
      <c r="I14" s="427"/>
      <c r="J14" s="90" t="str">
        <f>IF(H14="","",IF(H14=Dades!$C$656,Dades!$D$656,IF(H14=Dades!$C$657,Dades!$D$657,Dades!$D$658)))</f>
        <v/>
      </c>
      <c r="K14" s="91" t="str">
        <f>IF(J14="","",IF(F14="no","",L14))</f>
        <v/>
      </c>
      <c r="L14" s="91" t="str">
        <f>IF(J14="","",I14*J14)</f>
        <v/>
      </c>
      <c r="M14" s="58">
        <f>SUM(K14:K35)</f>
        <v>0</v>
      </c>
      <c r="N14" s="93"/>
      <c r="O14" s="46"/>
    </row>
    <row r="15" spans="1:59" s="2" customFormat="1" ht="16.5" customHeight="1" x14ac:dyDescent="0.3">
      <c r="A15" s="17"/>
      <c r="B15" s="13"/>
      <c r="C15" s="13"/>
      <c r="E15" s="415"/>
      <c r="F15" s="399" t="str">
        <f>IF(E15="","",IF(VLOOKUP(E15,'0_Dades generals organització'!$H$53:$L$300,3,FALSE)="","",VLOOKUP(E15,'0_Dades generals organització'!$H$53:$L$300,3,FALSE)))</f>
        <v/>
      </c>
      <c r="G15" s="425"/>
      <c r="H15" s="428"/>
      <c r="I15" s="427"/>
      <c r="J15" s="90" t="str">
        <f>IF(H15="","",IF(H15=Dades!$C$656,Dades!$D$656,IF(H15=Dades!$C$657,Dades!$D$657,Dades!$D$658)))</f>
        <v/>
      </c>
      <c r="K15" s="91" t="str">
        <f t="shared" ref="K15:K35" si="0">IF(J15="","",IF(F15="no","",L15))</f>
        <v/>
      </c>
      <c r="L15" s="91" t="str">
        <f t="shared" ref="L15:L35" si="1">IF(J15="","",I15*J15)</f>
        <v/>
      </c>
      <c r="M15" s="465" t="s">
        <v>1017</v>
      </c>
      <c r="N15" s="83"/>
      <c r="O15" s="83"/>
      <c r="AY15" s="83"/>
      <c r="AZ15" s="83"/>
      <c r="BA15" s="83"/>
      <c r="BB15" s="83"/>
      <c r="BC15" s="83"/>
      <c r="BD15" s="83"/>
      <c r="BE15" s="83"/>
      <c r="BF15" s="83"/>
      <c r="BG15" s="83"/>
    </row>
    <row r="16" spans="1:59" s="2" customFormat="1" x14ac:dyDescent="0.3">
      <c r="A16" s="13"/>
      <c r="B16" s="13"/>
      <c r="C16" s="13"/>
      <c r="E16" s="415"/>
      <c r="F16" s="399" t="str">
        <f>IF(E16="","",IF(VLOOKUP(E16,'0_Dades generals organització'!$H$53:$L$300,3,FALSE)="","",VLOOKUP(E16,'0_Dades generals organització'!$H$53:$L$300,3,FALSE)))</f>
        <v/>
      </c>
      <c r="G16" s="425"/>
      <c r="H16" s="426"/>
      <c r="I16" s="427"/>
      <c r="J16" s="90" t="str">
        <f>IF(H16="","",IF(H16=Dades!$C$656,Dades!$D$656,IF(H16=Dades!$C$657,Dades!$D$657,Dades!$D$658)))</f>
        <v/>
      </c>
      <c r="K16" s="91" t="str">
        <f t="shared" si="0"/>
        <v/>
      </c>
      <c r="L16" s="91" t="str">
        <f t="shared" si="1"/>
        <v/>
      </c>
      <c r="M16" s="471"/>
      <c r="N16" s="83"/>
      <c r="O16" s="83"/>
      <c r="AY16" s="83"/>
      <c r="AZ16" s="83"/>
      <c r="BA16" s="83"/>
      <c r="BB16" s="83"/>
      <c r="BC16" s="83"/>
      <c r="BD16" s="83"/>
      <c r="BE16" s="83"/>
      <c r="BF16" s="83"/>
      <c r="BG16" s="83"/>
    </row>
    <row r="17" spans="1:59" s="2" customFormat="1" x14ac:dyDescent="0.3">
      <c r="A17" s="13"/>
      <c r="B17" s="13"/>
      <c r="C17" s="13"/>
      <c r="E17" s="415"/>
      <c r="F17" s="399" t="str">
        <f>IF(E17="","",IF(VLOOKUP(E17,'0_Dades generals organització'!$H$53:$L$300,3,FALSE)="","",VLOOKUP(E17,'0_Dades generals organització'!$H$53:$L$300,3,FALSE)))</f>
        <v/>
      </c>
      <c r="G17" s="425"/>
      <c r="H17" s="426"/>
      <c r="I17" s="427"/>
      <c r="J17" s="90" t="str">
        <f>IF(H17="","",IF(H17=Dades!$C$656,Dades!$D$656,IF(H17=Dades!$C$657,Dades!$D$657,Dades!$D$658)))</f>
        <v/>
      </c>
      <c r="K17" s="91" t="str">
        <f t="shared" si="0"/>
        <v/>
      </c>
      <c r="L17" s="91" t="str">
        <f t="shared" si="1"/>
        <v/>
      </c>
      <c r="M17" s="466"/>
      <c r="N17" s="83"/>
      <c r="O17" s="83"/>
      <c r="AY17" s="83"/>
      <c r="AZ17" s="83"/>
      <c r="BA17" s="83"/>
      <c r="BB17" s="83"/>
      <c r="BC17" s="83"/>
      <c r="BD17" s="83"/>
      <c r="BE17" s="83"/>
      <c r="BF17" s="83"/>
      <c r="BG17" s="83"/>
    </row>
    <row r="18" spans="1:59" s="2" customFormat="1" x14ac:dyDescent="0.3">
      <c r="A18" s="13"/>
      <c r="B18" s="13"/>
      <c r="C18" s="13"/>
      <c r="E18" s="415"/>
      <c r="F18" s="399" t="str">
        <f>IF(E18="","",IF(VLOOKUP(E18,'0_Dades generals organització'!$H$53:$L$300,3,FALSE)="","",VLOOKUP(E18,'0_Dades generals organització'!$H$53:$L$300,3,FALSE)))</f>
        <v/>
      </c>
      <c r="G18" s="425"/>
      <c r="H18" s="426"/>
      <c r="I18" s="427"/>
      <c r="J18" s="90" t="str">
        <f>IF(H18="","",IF(H18=Dades!$C$656,Dades!$D$656,IF(H18=Dades!$C$657,Dades!$D$657,Dades!$D$658)))</f>
        <v/>
      </c>
      <c r="K18" s="91" t="str">
        <f t="shared" si="0"/>
        <v/>
      </c>
      <c r="L18" s="91" t="str">
        <f t="shared" si="1"/>
        <v/>
      </c>
      <c r="M18" s="58">
        <f>SUM(L14:L35)</f>
        <v>0</v>
      </c>
      <c r="N18" s="83"/>
      <c r="O18" s="83"/>
      <c r="AY18" s="83"/>
      <c r="AZ18" s="83"/>
      <c r="BA18" s="83"/>
      <c r="BB18" s="83"/>
      <c r="BC18" s="83"/>
      <c r="BD18" s="83"/>
      <c r="BE18" s="83"/>
      <c r="BF18" s="83"/>
      <c r="BG18" s="83"/>
    </row>
    <row r="19" spans="1:59" x14ac:dyDescent="0.3">
      <c r="E19" s="415"/>
      <c r="F19" s="399" t="str">
        <f>IF(E19="","",IF(VLOOKUP(E19,'0_Dades generals organització'!$H$53:$L$300,3,FALSE)="","",VLOOKUP(E19,'0_Dades generals organització'!$H$53:$L$300,3,FALSE)))</f>
        <v/>
      </c>
      <c r="G19" s="425"/>
      <c r="H19" s="426"/>
      <c r="I19" s="427"/>
      <c r="J19" s="90" t="str">
        <f>IF(H19="","",IF(H19=Dades!$C$656,Dades!$D$656,IF(H19=Dades!$C$657,Dades!$D$657,Dades!$D$658)))</f>
        <v/>
      </c>
      <c r="K19" s="91" t="str">
        <f t="shared" si="0"/>
        <v/>
      </c>
      <c r="L19" s="91" t="str">
        <f t="shared" si="1"/>
        <v/>
      </c>
      <c r="M19" s="9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row>
    <row r="20" spans="1:59" x14ac:dyDescent="0.3">
      <c r="E20" s="415"/>
      <c r="F20" s="399" t="str">
        <f>IF(E20="","",IF(VLOOKUP(E20,'0_Dades generals organització'!$H$53:$L$300,3,FALSE)="","",VLOOKUP(E20,'0_Dades generals organització'!$H$53:$L$300,3,FALSE)))</f>
        <v/>
      </c>
      <c r="G20" s="425"/>
      <c r="H20" s="426"/>
      <c r="I20" s="427"/>
      <c r="J20" s="90" t="str">
        <f>IF(H20="","",IF(H20=Dades!$C$656,Dades!$D$656,IF(H20=Dades!$C$657,Dades!$D$657,Dades!$D$658)))</f>
        <v/>
      </c>
      <c r="K20" s="91" t="str">
        <f t="shared" si="0"/>
        <v/>
      </c>
      <c r="L20" s="91" t="str">
        <f t="shared" si="1"/>
        <v/>
      </c>
      <c r="M20" s="92"/>
      <c r="N20" s="84"/>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row>
    <row r="21" spans="1:59" x14ac:dyDescent="0.3">
      <c r="E21" s="415"/>
      <c r="F21" s="399" t="str">
        <f>IF(E21="","",IF(VLOOKUP(E21,'0_Dades generals organització'!$H$53:$L$300,3,FALSE)="","",VLOOKUP(E21,'0_Dades generals organització'!$H$53:$L$300,3,FALSE)))</f>
        <v/>
      </c>
      <c r="G21" s="425"/>
      <c r="H21" s="426"/>
      <c r="I21" s="427"/>
      <c r="J21" s="90" t="str">
        <f>IF(H21="","",IF(H21=Dades!$C$656,Dades!$D$656,IF(H21=Dades!$C$657,Dades!$D$657,Dades!$D$658)))</f>
        <v/>
      </c>
      <c r="K21" s="91" t="str">
        <f t="shared" si="0"/>
        <v/>
      </c>
      <c r="L21" s="91" t="str">
        <f t="shared" si="1"/>
        <v/>
      </c>
      <c r="M21" s="92"/>
      <c r="N21" s="84"/>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row>
    <row r="22" spans="1:59" x14ac:dyDescent="0.3">
      <c r="E22" s="415"/>
      <c r="F22" s="399" t="str">
        <f>IF(E22="","",IF(VLOOKUP(E22,'0_Dades generals organització'!$H$53:$L$300,3,FALSE)="","",VLOOKUP(E22,'0_Dades generals organització'!$H$53:$L$300,3,FALSE)))</f>
        <v/>
      </c>
      <c r="G22" s="425"/>
      <c r="H22" s="426"/>
      <c r="I22" s="427"/>
      <c r="J22" s="90" t="str">
        <f>IF(H22="","",IF(H22=Dades!$C$656,Dades!$D$656,IF(H22=Dades!$C$657,Dades!$D$657,Dades!$D$658)))</f>
        <v/>
      </c>
      <c r="K22" s="91" t="str">
        <f t="shared" si="0"/>
        <v/>
      </c>
      <c r="L22" s="91" t="str">
        <f t="shared" si="1"/>
        <v/>
      </c>
      <c r="M22" s="9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row>
    <row r="23" spans="1:59" ht="16.5" customHeight="1" x14ac:dyDescent="0.3">
      <c r="E23" s="415"/>
      <c r="F23" s="399" t="str">
        <f>IF(E23="","",IF(VLOOKUP(E23,'0_Dades generals organització'!$H$53:$L$300,3,FALSE)="","",VLOOKUP(E23,'0_Dades generals organització'!$H$53:$L$300,3,FALSE)))</f>
        <v/>
      </c>
      <c r="G23" s="425"/>
      <c r="H23" s="426"/>
      <c r="I23" s="427"/>
      <c r="J23" s="90" t="str">
        <f>IF(H23="","",IF(H23=Dades!$C$656,Dades!$D$656,IF(H23=Dades!$C$657,Dades!$D$657,Dades!$D$658)))</f>
        <v/>
      </c>
      <c r="K23" s="91" t="str">
        <f t="shared" si="0"/>
        <v/>
      </c>
      <c r="L23" s="91" t="str">
        <f t="shared" si="1"/>
        <v/>
      </c>
      <c r="M23" s="92"/>
      <c r="N23" s="94"/>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row>
    <row r="24" spans="1:59" x14ac:dyDescent="0.3">
      <c r="E24" s="415"/>
      <c r="F24" s="399" t="str">
        <f>IF(E24="","",IF(VLOOKUP(E24,'0_Dades generals organització'!$H$53:$L$300,3,FALSE)="","",VLOOKUP(E24,'0_Dades generals organització'!$H$53:$L$300,3,FALSE)))</f>
        <v/>
      </c>
      <c r="G24" s="425"/>
      <c r="H24" s="426"/>
      <c r="I24" s="427"/>
      <c r="J24" s="90" t="str">
        <f>IF(H24="","",IF(H24=Dades!$C$656,Dades!$D$656,IF(H24=Dades!$C$657,Dades!$D$657,Dades!$D$658)))</f>
        <v/>
      </c>
      <c r="K24" s="91" t="str">
        <f t="shared" si="0"/>
        <v/>
      </c>
      <c r="L24" s="91" t="str">
        <f t="shared" si="1"/>
        <v/>
      </c>
      <c r="M24" s="9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row>
    <row r="25" spans="1:59" ht="16.5" customHeight="1" x14ac:dyDescent="0.3">
      <c r="E25" s="415"/>
      <c r="F25" s="399" t="str">
        <f>IF(E25="","",IF(VLOOKUP(E25,'0_Dades generals organització'!$H$53:$L$300,3,FALSE)="","",VLOOKUP(E25,'0_Dades generals organització'!$H$53:$L$300,3,FALSE)))</f>
        <v/>
      </c>
      <c r="G25" s="425"/>
      <c r="H25" s="426"/>
      <c r="I25" s="427"/>
      <c r="J25" s="90" t="str">
        <f>IF(H25="","",IF(H25=Dades!$C$656,Dades!$D$656,IF(H25=Dades!$C$657,Dades!$D$657,Dades!$D$658)))</f>
        <v/>
      </c>
      <c r="K25" s="91" t="str">
        <f t="shared" si="0"/>
        <v/>
      </c>
      <c r="L25" s="91" t="str">
        <f t="shared" si="1"/>
        <v/>
      </c>
      <c r="M25" s="92"/>
      <c r="N25" s="95"/>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row>
    <row r="26" spans="1:59" x14ac:dyDescent="0.3">
      <c r="E26" s="415"/>
      <c r="F26" s="399" t="str">
        <f>IF(E26="","",IF(VLOOKUP(E26,'0_Dades generals organització'!$H$53:$L$300,3,FALSE)="","",VLOOKUP(E26,'0_Dades generals organització'!$H$53:$L$300,3,FALSE)))</f>
        <v/>
      </c>
      <c r="G26" s="425"/>
      <c r="H26" s="426"/>
      <c r="I26" s="427"/>
      <c r="J26" s="90" t="str">
        <f>IF(H26="","",IF(H26=Dades!$C$656,Dades!$D$656,IF(H26=Dades!$C$657,Dades!$D$657,Dades!$D$658)))</f>
        <v/>
      </c>
      <c r="K26" s="91" t="str">
        <f t="shared" si="0"/>
        <v/>
      </c>
      <c r="L26" s="91" t="str">
        <f t="shared" si="1"/>
        <v/>
      </c>
      <c r="M26" s="9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row>
    <row r="27" spans="1:59" x14ac:dyDescent="0.3">
      <c r="E27" s="415"/>
      <c r="F27" s="399" t="str">
        <f>IF(E27="","",IF(VLOOKUP(E27,'0_Dades generals organització'!$H$53:$L$300,3,FALSE)="","",VLOOKUP(E27,'0_Dades generals organització'!$H$53:$L$300,3,FALSE)))</f>
        <v/>
      </c>
      <c r="G27" s="425"/>
      <c r="H27" s="426"/>
      <c r="I27" s="427"/>
      <c r="J27" s="90" t="str">
        <f>IF(H27="","",IF(H27=Dades!$C$656,Dades!$D$656,IF(H27=Dades!$C$657,Dades!$D$657,Dades!$D$658)))</f>
        <v/>
      </c>
      <c r="K27" s="91" t="str">
        <f t="shared" si="0"/>
        <v/>
      </c>
      <c r="L27" s="91" t="str">
        <f t="shared" si="1"/>
        <v/>
      </c>
      <c r="M27" s="9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row>
    <row r="28" spans="1:59" x14ac:dyDescent="0.3">
      <c r="E28" s="415"/>
      <c r="F28" s="399" t="str">
        <f>IF(E28="","",IF(VLOOKUP(E28,'0_Dades generals organització'!$H$53:$L$300,3,FALSE)="","",VLOOKUP(E28,'0_Dades generals organització'!$H$53:$L$300,3,FALSE)))</f>
        <v/>
      </c>
      <c r="G28" s="425"/>
      <c r="H28" s="426"/>
      <c r="I28" s="427"/>
      <c r="J28" s="90" t="str">
        <f>IF(H28="","",IF(H28=Dades!$C$656,Dades!$D$656,IF(H28=Dades!$C$657,Dades!$D$657,Dades!$D$658)))</f>
        <v/>
      </c>
      <c r="K28" s="91" t="str">
        <f t="shared" si="0"/>
        <v/>
      </c>
      <c r="L28" s="91" t="str">
        <f t="shared" si="1"/>
        <v/>
      </c>
      <c r="M28" s="9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row>
    <row r="29" spans="1:59" x14ac:dyDescent="0.3">
      <c r="E29" s="415"/>
      <c r="F29" s="399" t="str">
        <f>IF(E29="","",IF(VLOOKUP(E29,'0_Dades generals organització'!$H$53:$L$300,3,FALSE)="","",VLOOKUP(E29,'0_Dades generals organització'!$H$53:$L$300,3,FALSE)))</f>
        <v/>
      </c>
      <c r="G29" s="425"/>
      <c r="H29" s="426"/>
      <c r="I29" s="427"/>
      <c r="J29" s="90" t="str">
        <f>IF(H29="","",IF(H29=Dades!$C$656,Dades!$D$656,IF(H29=Dades!$C$657,Dades!$D$657,Dades!$D$658)))</f>
        <v/>
      </c>
      <c r="K29" s="91" t="str">
        <f t="shared" si="0"/>
        <v/>
      </c>
      <c r="L29" s="91" t="str">
        <f t="shared" si="1"/>
        <v/>
      </c>
      <c r="M29" s="92"/>
      <c r="N29" s="84"/>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row>
    <row r="30" spans="1:59" x14ac:dyDescent="0.3">
      <c r="E30" s="415"/>
      <c r="F30" s="399" t="str">
        <f>IF(E30="","",IF(VLOOKUP(E30,'0_Dades generals organització'!$H$53:$L$300,3,FALSE)="","",VLOOKUP(E30,'0_Dades generals organització'!$H$53:$L$300,3,FALSE)))</f>
        <v/>
      </c>
      <c r="G30" s="425"/>
      <c r="H30" s="426"/>
      <c r="I30" s="427"/>
      <c r="J30" s="90" t="str">
        <f>IF(H30="","",IF(H30=Dades!$C$656,Dades!$D$656,IF(H30=Dades!$C$657,Dades!$D$657,Dades!$D$658)))</f>
        <v/>
      </c>
      <c r="K30" s="91" t="str">
        <f t="shared" si="0"/>
        <v/>
      </c>
      <c r="L30" s="91" t="str">
        <f t="shared" si="1"/>
        <v/>
      </c>
      <c r="M30" s="92"/>
      <c r="N30" s="84"/>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row>
    <row r="31" spans="1:59" x14ac:dyDescent="0.3">
      <c r="E31" s="415"/>
      <c r="F31" s="399" t="str">
        <f>IF(E31="","",IF(VLOOKUP(E31,'0_Dades generals organització'!$H$53:$L$300,3,FALSE)="","",VLOOKUP(E31,'0_Dades generals organització'!$H$53:$L$300,3,FALSE)))</f>
        <v/>
      </c>
      <c r="G31" s="425"/>
      <c r="H31" s="426"/>
      <c r="I31" s="427"/>
      <c r="J31" s="90" t="str">
        <f>IF(H31="","",IF(H31=Dades!$C$656,Dades!$D$656,IF(H31=Dades!$C$657,Dades!$D$657,Dades!$D$658)))</f>
        <v/>
      </c>
      <c r="K31" s="91" t="str">
        <f t="shared" si="0"/>
        <v/>
      </c>
      <c r="L31" s="91" t="str">
        <f t="shared" si="1"/>
        <v/>
      </c>
      <c r="M31" s="92"/>
      <c r="N31" s="84"/>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row>
    <row r="32" spans="1:59" x14ac:dyDescent="0.3">
      <c r="E32" s="415"/>
      <c r="F32" s="399" t="str">
        <f>IF(E32="","",IF(VLOOKUP(E32,'0_Dades generals organització'!$H$53:$L$300,3,FALSE)="","",VLOOKUP(E32,'0_Dades generals organització'!$H$53:$L$300,3,FALSE)))</f>
        <v/>
      </c>
      <c r="G32" s="425"/>
      <c r="H32" s="426"/>
      <c r="I32" s="427"/>
      <c r="J32" s="90" t="str">
        <f>IF(H32="","",IF(H32=Dades!$C$656,Dades!$D$656,IF(H32=Dades!$C$657,Dades!$D$657,Dades!$D$658)))</f>
        <v/>
      </c>
      <c r="K32" s="91" t="str">
        <f t="shared" si="0"/>
        <v/>
      </c>
      <c r="L32" s="91" t="str">
        <f t="shared" si="1"/>
        <v/>
      </c>
      <c r="M32" s="92"/>
      <c r="N32" s="84"/>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row>
    <row r="33" spans="5:50" x14ac:dyDescent="0.3">
      <c r="E33" s="415"/>
      <c r="F33" s="399" t="str">
        <f>IF(E33="","",IF(VLOOKUP(E33,'0_Dades generals organització'!$H$53:$L$300,3,FALSE)="","",VLOOKUP(E33,'0_Dades generals organització'!$H$53:$L$300,3,FALSE)))</f>
        <v/>
      </c>
      <c r="G33" s="425"/>
      <c r="H33" s="426"/>
      <c r="I33" s="427"/>
      <c r="J33" s="90" t="str">
        <f>IF(H33="","",IF(H33=Dades!$C$656,Dades!$D$656,IF(H33=Dades!$C$657,Dades!$D$657,Dades!$D$658)))</f>
        <v/>
      </c>
      <c r="K33" s="91" t="str">
        <f t="shared" si="0"/>
        <v/>
      </c>
      <c r="L33" s="91" t="str">
        <f t="shared" si="1"/>
        <v/>
      </c>
      <c r="M33" s="92"/>
      <c r="N33" s="84"/>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row>
    <row r="34" spans="5:50" x14ac:dyDescent="0.3">
      <c r="E34" s="415"/>
      <c r="F34" s="399" t="str">
        <f>IF(E34="","",IF(VLOOKUP(E34,'0_Dades generals organització'!$H$53:$L$300,3,FALSE)="","",VLOOKUP(E34,'0_Dades generals organització'!$H$53:$L$300,3,FALSE)))</f>
        <v/>
      </c>
      <c r="G34" s="425"/>
      <c r="H34" s="426"/>
      <c r="I34" s="427"/>
      <c r="J34" s="90" t="str">
        <f>IF(H34="","",IF(H34=Dades!$C$656,Dades!$D$656,IF(H34=Dades!$C$657,Dades!$D$657,Dades!$D$658)))</f>
        <v/>
      </c>
      <c r="K34" s="91" t="str">
        <f t="shared" si="0"/>
        <v/>
      </c>
      <c r="L34" s="91" t="str">
        <f t="shared" si="1"/>
        <v/>
      </c>
      <c r="M34" s="92"/>
      <c r="N34" s="84"/>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row>
    <row r="35" spans="5:50" x14ac:dyDescent="0.3">
      <c r="E35" s="415"/>
      <c r="F35" s="399" t="str">
        <f>IF(E35="","",IF(VLOOKUP(E35,'0_Dades generals organització'!$H$53:$L$300,3,FALSE)="","",VLOOKUP(E35,'0_Dades generals organització'!$H$53:$L$300,3,FALSE)))</f>
        <v/>
      </c>
      <c r="G35" s="425"/>
      <c r="H35" s="426"/>
      <c r="I35" s="427"/>
      <c r="J35" s="90" t="str">
        <f>IF(H35="","",IF(H35=Dades!$C$656,Dades!$D$656,IF(H35=Dades!$C$657,Dades!$D$657,Dades!$D$658)))</f>
        <v/>
      </c>
      <c r="K35" s="91" t="str">
        <f t="shared" si="0"/>
        <v/>
      </c>
      <c r="L35" s="91" t="str">
        <f t="shared" si="1"/>
        <v/>
      </c>
      <c r="M35" s="92"/>
      <c r="N35" s="84"/>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row>
    <row r="36" spans="5:50" x14ac:dyDescent="0.3">
      <c r="G36" s="84"/>
      <c r="H36" s="84"/>
      <c r="I36" s="84"/>
      <c r="J36" s="84"/>
      <c r="K36" s="84"/>
      <c r="L36" s="84"/>
      <c r="M36" s="84"/>
      <c r="N36" s="84"/>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row>
    <row r="37" spans="5:50" x14ac:dyDescent="0.3">
      <c r="G37" s="84"/>
      <c r="H37" s="84"/>
      <c r="I37" s="84"/>
      <c r="J37" s="84"/>
      <c r="K37" s="84"/>
      <c r="L37" s="84"/>
      <c r="M37" s="84"/>
      <c r="N37" s="84"/>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row>
    <row r="38" spans="5:50" x14ac:dyDescent="0.3">
      <c r="G38" s="84"/>
      <c r="H38" s="84"/>
      <c r="I38" s="84"/>
      <c r="J38" s="84"/>
      <c r="K38" s="84"/>
      <c r="L38" s="84"/>
      <c r="M38" s="84"/>
      <c r="N38" s="84"/>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5:50" x14ac:dyDescent="0.3">
      <c r="G39" s="84"/>
      <c r="H39" s="84"/>
      <c r="I39" s="84"/>
      <c r="J39" s="84"/>
      <c r="K39" s="84"/>
      <c r="L39" s="84"/>
      <c r="M39" s="84"/>
      <c r="N39" s="84"/>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row>
    <row r="40" spans="5:50" x14ac:dyDescent="0.3">
      <c r="G40" s="84"/>
      <c r="H40" s="84"/>
      <c r="I40" s="84"/>
      <c r="J40" s="84"/>
      <c r="K40" s="84"/>
      <c r="L40" s="84"/>
      <c r="M40" s="84"/>
      <c r="N40" s="84"/>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row>
    <row r="41" spans="5:50" x14ac:dyDescent="0.3">
      <c r="G41" s="84"/>
      <c r="H41" s="84"/>
      <c r="I41" s="84"/>
      <c r="J41" s="84"/>
      <c r="K41" s="84"/>
      <c r="L41" s="84"/>
      <c r="M41" s="84"/>
      <c r="N41" s="84"/>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row>
    <row r="42" spans="5:50" x14ac:dyDescent="0.3">
      <c r="G42" s="84"/>
      <c r="H42" s="84"/>
      <c r="I42" s="84"/>
      <c r="J42" s="84"/>
      <c r="K42" s="84"/>
      <c r="L42" s="84"/>
      <c r="M42" s="84"/>
      <c r="N42" s="84"/>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row>
    <row r="43" spans="5:50" x14ac:dyDescent="0.3">
      <c r="G43" s="84"/>
      <c r="H43" s="84"/>
      <c r="I43" s="84"/>
      <c r="J43" s="84"/>
      <c r="K43" s="84"/>
      <c r="L43" s="84"/>
      <c r="M43" s="84"/>
      <c r="N43" s="84"/>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row>
    <row r="44" spans="5:50" x14ac:dyDescent="0.3">
      <c r="G44" s="84"/>
      <c r="H44" s="84"/>
      <c r="I44" s="84"/>
      <c r="J44" s="84"/>
      <c r="K44" s="84"/>
      <c r="L44" s="84"/>
      <c r="M44" s="84"/>
      <c r="N44" s="84"/>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row>
    <row r="45" spans="5:50" x14ac:dyDescent="0.3">
      <c r="G45" s="84"/>
      <c r="H45" s="84"/>
      <c r="I45" s="84"/>
      <c r="J45" s="84"/>
      <c r="K45" s="84"/>
      <c r="L45" s="84"/>
      <c r="M45" s="84"/>
      <c r="N45" s="84"/>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row>
    <row r="46" spans="5:50" x14ac:dyDescent="0.3">
      <c r="G46" s="84"/>
      <c r="H46" s="84"/>
      <c r="I46" s="84"/>
      <c r="J46" s="84"/>
      <c r="K46" s="84"/>
      <c r="L46" s="84"/>
      <c r="M46" s="84"/>
      <c r="N46" s="84"/>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row>
    <row r="47" spans="5:50" x14ac:dyDescent="0.3">
      <c r="G47" s="84"/>
      <c r="H47" s="84"/>
      <c r="I47" s="84"/>
      <c r="J47" s="84"/>
      <c r="K47" s="84"/>
      <c r="L47" s="84"/>
      <c r="M47" s="84"/>
      <c r="N47" s="84"/>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row>
    <row r="48" spans="5:50" x14ac:dyDescent="0.3">
      <c r="G48" s="84"/>
      <c r="H48" s="84"/>
      <c r="I48" s="84"/>
      <c r="J48" s="84"/>
      <c r="K48" s="84"/>
      <c r="L48" s="84"/>
      <c r="M48" s="84"/>
      <c r="N48" s="84"/>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row>
    <row r="49" spans="7:144" x14ac:dyDescent="0.3">
      <c r="G49" s="84"/>
      <c r="H49" s="84"/>
      <c r="I49" s="84"/>
      <c r="J49" s="84"/>
      <c r="K49" s="84"/>
      <c r="L49" s="84"/>
      <c r="M49" s="84"/>
      <c r="N49" s="84"/>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row>
    <row r="50" spans="7:144" x14ac:dyDescent="0.3">
      <c r="G50" s="84"/>
      <c r="H50" s="84"/>
      <c r="I50" s="84"/>
      <c r="J50" s="84"/>
      <c r="K50" s="84"/>
      <c r="L50" s="84"/>
      <c r="M50" s="84"/>
      <c r="N50" s="84"/>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row>
    <row r="51" spans="7:144" x14ac:dyDescent="0.3">
      <c r="G51" s="84"/>
      <c r="H51" s="84"/>
      <c r="I51" s="84"/>
      <c r="J51" s="84"/>
      <c r="K51" s="84"/>
      <c r="L51" s="84"/>
      <c r="M51" s="84"/>
      <c r="N51" s="84"/>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row>
    <row r="52" spans="7:144" x14ac:dyDescent="0.3">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row>
    <row r="53" spans="7:144" x14ac:dyDescent="0.3">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row>
    <row r="54" spans="7:144" x14ac:dyDescent="0.3">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row>
    <row r="55" spans="7:144" x14ac:dyDescent="0.3">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row>
    <row r="56" spans="7:144" x14ac:dyDescent="0.3">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row>
    <row r="57" spans="7:144" x14ac:dyDescent="0.3">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row>
    <row r="58" spans="7:144" x14ac:dyDescent="0.3">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row>
    <row r="59" spans="7:144" x14ac:dyDescent="0.3">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row>
    <row r="60" spans="7:144" x14ac:dyDescent="0.3">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row>
    <row r="61" spans="7:144" x14ac:dyDescent="0.3">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row>
    <row r="62" spans="7:144" x14ac:dyDescent="0.3">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row>
    <row r="63" spans="7:144" x14ac:dyDescent="0.3">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DY63" s="2"/>
      <c r="DZ63" s="2"/>
      <c r="EA63" s="2"/>
      <c r="EB63" s="2"/>
      <c r="EC63" s="2"/>
      <c r="ED63" s="2"/>
      <c r="EE63" s="2"/>
      <c r="EF63" s="2"/>
      <c r="EG63" s="2"/>
      <c r="EH63" s="2"/>
      <c r="EI63" s="2"/>
      <c r="EJ63" s="2"/>
      <c r="EK63" s="2"/>
      <c r="EL63" s="2"/>
      <c r="EM63" s="2"/>
      <c r="EN63" s="2"/>
    </row>
    <row r="64" spans="7:144" x14ac:dyDescent="0.3">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row>
    <row r="65" spans="17:144" x14ac:dyDescent="0.3">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row>
    <row r="66" spans="17:144" x14ac:dyDescent="0.3">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row>
    <row r="67" spans="17:144" x14ac:dyDescent="0.3">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row>
    <row r="68" spans="17:144" x14ac:dyDescent="0.3">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row>
    <row r="69" spans="17:144" x14ac:dyDescent="0.3">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row>
    <row r="70" spans="17:144" x14ac:dyDescent="0.3">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row>
    <row r="71" spans="17:144" x14ac:dyDescent="0.3">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row>
    <row r="72" spans="17:144" x14ac:dyDescent="0.3">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row>
    <row r="73" spans="17:144" x14ac:dyDescent="0.3">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row>
    <row r="74" spans="17:144" x14ac:dyDescent="0.3">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DY74" s="84"/>
      <c r="DZ74" s="84"/>
      <c r="EA74" s="84"/>
      <c r="EB74" s="84"/>
      <c r="EC74" s="84"/>
      <c r="ED74" s="84"/>
      <c r="EE74" s="84"/>
      <c r="EF74" s="84"/>
      <c r="EG74" s="84"/>
      <c r="EH74" s="84"/>
      <c r="EI74" s="84"/>
      <c r="EJ74" s="84"/>
      <c r="EK74" s="84"/>
      <c r="EL74" s="84"/>
      <c r="EM74" s="84"/>
      <c r="EN74" s="84"/>
    </row>
    <row r="75" spans="17:144" x14ac:dyDescent="0.3">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DY75" s="84"/>
      <c r="DZ75" s="84"/>
      <c r="EA75" s="84"/>
      <c r="EB75" s="84"/>
      <c r="EC75" s="84"/>
      <c r="ED75" s="84"/>
      <c r="EE75" s="84"/>
      <c r="EF75" s="84"/>
      <c r="EG75" s="84"/>
      <c r="EH75" s="84"/>
      <c r="EI75" s="84"/>
      <c r="EJ75" s="84"/>
      <c r="EK75" s="84"/>
      <c r="EL75" s="84"/>
      <c r="EM75" s="84"/>
      <c r="EN75" s="84"/>
    </row>
    <row r="76" spans="17:144" x14ac:dyDescent="0.3">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DY76" s="84"/>
      <c r="DZ76" s="84"/>
      <c r="EA76" s="84"/>
      <c r="EB76" s="84"/>
      <c r="EC76" s="84"/>
      <c r="ED76" s="84"/>
      <c r="EE76" s="84"/>
      <c r="EF76" s="84"/>
      <c r="EG76" s="84"/>
      <c r="EH76" s="84"/>
      <c r="EI76" s="84"/>
      <c r="EJ76" s="84"/>
      <c r="EK76" s="84"/>
      <c r="EL76" s="84"/>
      <c r="EM76" s="84"/>
      <c r="EN76" s="84"/>
    </row>
    <row r="77" spans="17:144" x14ac:dyDescent="0.3">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DY77" s="84"/>
      <c r="DZ77" s="84"/>
      <c r="EA77" s="84"/>
      <c r="EB77" s="84"/>
      <c r="EC77" s="84"/>
      <c r="ED77" s="84"/>
      <c r="EE77" s="84"/>
      <c r="EF77" s="84"/>
      <c r="EG77" s="84"/>
      <c r="EH77" s="84"/>
      <c r="EI77" s="84"/>
      <c r="EJ77" s="84"/>
      <c r="EK77" s="84"/>
      <c r="EL77" s="84"/>
      <c r="EM77" s="84"/>
      <c r="EN77" s="84"/>
    </row>
    <row r="78" spans="17:144" x14ac:dyDescent="0.3">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DY78" s="84"/>
      <c r="DZ78" s="84"/>
      <c r="EA78" s="84"/>
      <c r="EB78" s="84"/>
      <c r="EC78" s="84"/>
      <c r="ED78" s="84"/>
      <c r="EE78" s="84"/>
      <c r="EF78" s="84"/>
      <c r="EG78" s="84"/>
      <c r="EH78" s="84"/>
      <c r="EI78" s="84"/>
      <c r="EJ78" s="84"/>
      <c r="EK78" s="84"/>
      <c r="EL78" s="84"/>
      <c r="EM78" s="84"/>
      <c r="EN78" s="84"/>
    </row>
    <row r="79" spans="17:144" x14ac:dyDescent="0.3">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DY79" s="84"/>
      <c r="DZ79" s="84"/>
      <c r="EA79" s="84"/>
      <c r="EB79" s="84"/>
      <c r="EC79" s="84"/>
      <c r="ED79" s="84"/>
      <c r="EE79" s="84"/>
      <c r="EF79" s="84"/>
      <c r="EG79" s="84"/>
      <c r="EH79" s="84"/>
      <c r="EI79" s="84"/>
      <c r="EJ79" s="84"/>
      <c r="EK79" s="84"/>
      <c r="EL79" s="84"/>
      <c r="EM79" s="84"/>
      <c r="EN79" s="84"/>
    </row>
    <row r="80" spans="17:144" x14ac:dyDescent="0.3">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row>
    <row r="81" spans="17:50" x14ac:dyDescent="0.3">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row>
    <row r="82" spans="17:50" x14ac:dyDescent="0.3">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row>
    <row r="83" spans="17:50" x14ac:dyDescent="0.3">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row>
    <row r="84" spans="17:50" x14ac:dyDescent="0.3">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row>
    <row r="85" spans="17:50" x14ac:dyDescent="0.3">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row>
    <row r="86" spans="17:50" x14ac:dyDescent="0.3">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row>
    <row r="87" spans="17:50" x14ac:dyDescent="0.3">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row>
    <row r="88" spans="17:50" x14ac:dyDescent="0.3">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row>
    <row r="89" spans="17:50" x14ac:dyDescent="0.3">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row>
    <row r="90" spans="17:50" x14ac:dyDescent="0.3">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row>
    <row r="91" spans="17:50" x14ac:dyDescent="0.3">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row>
    <row r="92" spans="17:50" x14ac:dyDescent="0.3">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row>
    <row r="93" spans="17:50" x14ac:dyDescent="0.3">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row>
    <row r="94" spans="17:50" x14ac:dyDescent="0.3">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row>
    <row r="95" spans="17:50" x14ac:dyDescent="0.3">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row>
    <row r="96" spans="17:50" x14ac:dyDescent="0.3">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row>
    <row r="97" spans="17:50" x14ac:dyDescent="0.3">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row>
    <row r="98" spans="17:50" x14ac:dyDescent="0.3">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row>
    <row r="99" spans="17:50" x14ac:dyDescent="0.3">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row>
    <row r="100" spans="17:50" x14ac:dyDescent="0.3">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row>
    <row r="101" spans="17:50" x14ac:dyDescent="0.3">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row>
    <row r="102" spans="17:50" x14ac:dyDescent="0.3">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row>
    <row r="103" spans="17:50" x14ac:dyDescent="0.3">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row>
    <row r="104" spans="17:50" x14ac:dyDescent="0.3">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row>
    <row r="105" spans="17:50" x14ac:dyDescent="0.3">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row>
    <row r="106" spans="17:50" x14ac:dyDescent="0.3">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row>
    <row r="107" spans="17:50" x14ac:dyDescent="0.3">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row>
    <row r="108" spans="17:50" x14ac:dyDescent="0.3">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row>
    <row r="109" spans="17:50" x14ac:dyDescent="0.3">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row>
    <row r="110" spans="17:50" x14ac:dyDescent="0.3">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row>
    <row r="111" spans="17:50" x14ac:dyDescent="0.3">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row>
    <row r="112" spans="17:50" x14ac:dyDescent="0.3">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row>
    <row r="113" spans="17:50" x14ac:dyDescent="0.3">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row>
    <row r="114" spans="17:50" x14ac:dyDescent="0.3">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row>
    <row r="115" spans="17:50" x14ac:dyDescent="0.3">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row>
    <row r="116" spans="17:50" x14ac:dyDescent="0.3">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row>
    <row r="117" spans="17:50" x14ac:dyDescent="0.3">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row>
    <row r="118" spans="17:50" x14ac:dyDescent="0.3">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row>
    <row r="119" spans="17:50" x14ac:dyDescent="0.3">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row>
    <row r="120" spans="17:50" x14ac:dyDescent="0.3">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row>
    <row r="121" spans="17:50" x14ac:dyDescent="0.3">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row>
    <row r="122" spans="17:50" x14ac:dyDescent="0.3">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row>
    <row r="123" spans="17:50" x14ac:dyDescent="0.3">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row>
    <row r="124" spans="17:50" x14ac:dyDescent="0.3">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row>
    <row r="125" spans="17:50" x14ac:dyDescent="0.3">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row>
    <row r="126" spans="17:50" x14ac:dyDescent="0.3">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row>
    <row r="127" spans="17:50" x14ac:dyDescent="0.3">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row>
    <row r="128" spans="17:50" x14ac:dyDescent="0.3">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row>
    <row r="129" spans="17:50" x14ac:dyDescent="0.3">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row>
    <row r="130" spans="17:50" x14ac:dyDescent="0.3">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row>
    <row r="131" spans="17:50" x14ac:dyDescent="0.3">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row>
    <row r="132" spans="17:50" x14ac:dyDescent="0.3">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row>
    <row r="133" spans="17:50" x14ac:dyDescent="0.3">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row>
    <row r="134" spans="17:50" x14ac:dyDescent="0.3">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row>
    <row r="135" spans="17:50" x14ac:dyDescent="0.3">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row>
    <row r="136" spans="17:50" x14ac:dyDescent="0.3">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row>
    <row r="137" spans="17:50" x14ac:dyDescent="0.3">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row>
    <row r="138" spans="17:50" x14ac:dyDescent="0.3">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row>
    <row r="139" spans="17:50" x14ac:dyDescent="0.3">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row>
    <row r="140" spans="17:50" x14ac:dyDescent="0.3">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row>
    <row r="141" spans="17:50" x14ac:dyDescent="0.3">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row>
    <row r="142" spans="17:50" x14ac:dyDescent="0.3">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row>
    <row r="143" spans="17:50" x14ac:dyDescent="0.3">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row>
    <row r="144" spans="17:50" x14ac:dyDescent="0.3">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row>
    <row r="145" spans="17:50" x14ac:dyDescent="0.3">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row>
    <row r="146" spans="17:50" x14ac:dyDescent="0.3">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row>
    <row r="147" spans="17:50" x14ac:dyDescent="0.3">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row>
    <row r="148" spans="17:50" x14ac:dyDescent="0.3">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row>
    <row r="149" spans="17:50" x14ac:dyDescent="0.3">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row>
    <row r="150" spans="17:50" x14ac:dyDescent="0.3">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row>
    <row r="151" spans="17:50" x14ac:dyDescent="0.3">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row>
    <row r="152" spans="17:50" x14ac:dyDescent="0.3">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row>
    <row r="153" spans="17:50" x14ac:dyDescent="0.3">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row>
    <row r="154" spans="17:50" x14ac:dyDescent="0.3">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row>
    <row r="155" spans="17:50" x14ac:dyDescent="0.3">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row>
    <row r="156" spans="17:50" x14ac:dyDescent="0.3">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row>
    <row r="157" spans="17:50" x14ac:dyDescent="0.3">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row>
    <row r="158" spans="17:50" x14ac:dyDescent="0.3">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row>
    <row r="159" spans="17:50" x14ac:dyDescent="0.3">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row>
    <row r="160" spans="17:50" x14ac:dyDescent="0.3">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row>
    <row r="161" spans="17:50" x14ac:dyDescent="0.3">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row>
    <row r="162" spans="17:50" x14ac:dyDescent="0.3">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row>
    <row r="163" spans="17:50" x14ac:dyDescent="0.3">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row>
    <row r="164" spans="17:50" x14ac:dyDescent="0.3">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row>
    <row r="165" spans="17:50" x14ac:dyDescent="0.3">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row>
    <row r="166" spans="17:50" x14ac:dyDescent="0.3">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row>
    <row r="167" spans="17:50" x14ac:dyDescent="0.3">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row>
    <row r="168" spans="17:50" x14ac:dyDescent="0.3">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row>
    <row r="169" spans="17:50" x14ac:dyDescent="0.3">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row>
    <row r="170" spans="17:50" x14ac:dyDescent="0.3">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row>
    <row r="171" spans="17:50" x14ac:dyDescent="0.3">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row>
    <row r="172" spans="17:50" x14ac:dyDescent="0.3">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row>
    <row r="173" spans="17:50" x14ac:dyDescent="0.3">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row>
    <row r="174" spans="17:50" x14ac:dyDescent="0.3">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row>
    <row r="175" spans="17:50" x14ac:dyDescent="0.3">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row>
    <row r="176" spans="17:50" x14ac:dyDescent="0.3">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row>
    <row r="177" spans="17:50" x14ac:dyDescent="0.3">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row>
    <row r="178" spans="17:50" x14ac:dyDescent="0.3">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row>
    <row r="179" spans="17:50" x14ac:dyDescent="0.3">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row>
    <row r="180" spans="17:50" x14ac:dyDescent="0.3">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row>
    <row r="181" spans="17:50" x14ac:dyDescent="0.3">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row>
    <row r="222" spans="7:12" x14ac:dyDescent="0.3">
      <c r="G222" s="96"/>
      <c r="H222" s="96"/>
      <c r="I222" s="96"/>
      <c r="J222" s="96"/>
      <c r="K222" s="96"/>
      <c r="L222" s="96"/>
    </row>
    <row r="223" spans="7:12" x14ac:dyDescent="0.3">
      <c r="G223" s="96"/>
      <c r="H223" s="96"/>
      <c r="I223" s="96"/>
      <c r="J223" s="96"/>
      <c r="K223" s="96"/>
      <c r="L223" s="96"/>
    </row>
  </sheetData>
  <sheetProtection sheet="1" objects="1" scenarios="1"/>
  <mergeCells count="13">
    <mergeCell ref="M15:M17"/>
    <mergeCell ref="C1:O1"/>
    <mergeCell ref="E11:E12"/>
    <mergeCell ref="G11:G12"/>
    <mergeCell ref="H11:H12"/>
    <mergeCell ref="I11:I12"/>
    <mergeCell ref="J11:J12"/>
    <mergeCell ref="K11:K12"/>
    <mergeCell ref="M11:M12"/>
    <mergeCell ref="E3:M8"/>
    <mergeCell ref="F11:F12"/>
    <mergeCell ref="L11:L12"/>
    <mergeCell ref="E10:M10"/>
  </mergeCells>
  <dataValidations count="3">
    <dataValidation operator="equal" allowBlank="1" showInputMessage="1" showErrorMessage="1" sqref="G14:G35">
      <formula1>0</formula1>
      <formula2>0</formula2>
    </dataValidation>
    <dataValidation showInputMessage="1" showErrorMessage="1" sqref="F14:F35"/>
    <dataValidation type="decimal" operator="greaterThan" allowBlank="1" showInputMessage="1" showErrorMessage="1" sqref="I14:I35">
      <formula1>0</formula1>
    </dataValidation>
  </dataValidations>
  <hyperlinks>
    <hyperlink ref="A3" location="'0_Dades generals organització'!A1" display="0. Dades de la organització"/>
    <hyperlink ref="A5" location="'2_Fluorats'!A1" display="2. PC Abast 1: Fugues fluorats"/>
    <hyperlink ref="A4" location="'1_Combustibles fòssils'!A1" display="1. PC Abast 1: Comb. fòssils"/>
    <hyperlink ref="A7" location="'4.1_Electricitat Illes Balears'!A1" display="4.1 PC 2: Electricitat I. Balears"/>
    <hyperlink ref="A8" location="'4.2_Electricitat Espanya'!A1" display="4.2 PC 2: Electricitat Espanya"/>
    <hyperlink ref="A9" location="'5_Informació addicional'!A1" display="5. Inf. addicional: renovables"/>
    <hyperlink ref="A10" location="'6.1_Resultats Illes Balears'!A1" display="6.1 Informe final: Resultats I. Balears"/>
    <hyperlink ref="A11" location="'6.2_Resultats Espanya'!A1" display="6.2 Informe final: Resultats Espanya"/>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Dades!$C$655:$C$658</xm:f>
          </x14:formula1>
          <x14:formula2>
            <xm:f>0</xm:f>
          </x14:formula2>
          <xm:sqref>H14:H35</xm:sqref>
        </x14:dataValidation>
        <x14:dataValidation type="list" showInputMessage="1" showErrorMessage="1">
          <x14:formula1>
            <xm:f>'0_Dades generals organització'!$H$52:$H$302</xm:f>
          </x14:formula1>
          <xm:sqref>E14:E35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5"/>
  <sheetViews>
    <sheetView showRowColHeaders="0" zoomScaleNormal="100" workbookViewId="0">
      <pane xSplit="1" topLeftCell="C1" activePane="topRight" state="frozen"/>
      <selection pane="topRight" activeCell="C1" sqref="C1:M1"/>
    </sheetView>
  </sheetViews>
  <sheetFormatPr baseColWidth="10" defaultColWidth="9.140625" defaultRowHeight="16.5" x14ac:dyDescent="0.3"/>
  <cols>
    <col min="1" max="1" width="31.28515625" style="13" customWidth="1"/>
    <col min="2" max="2" width="2" style="13" customWidth="1"/>
    <col min="3" max="3" width="1.5703125" style="13" customWidth="1"/>
    <col min="4" max="4" width="3.5703125" style="83" customWidth="1"/>
    <col min="5" max="5" width="28.42578125" style="83" customWidth="1"/>
    <col min="6" max="6" width="51.42578125" style="83" customWidth="1"/>
    <col min="7" max="7" width="46.7109375" style="83" customWidth="1"/>
    <col min="8" max="8" width="47" style="83" customWidth="1"/>
    <col min="9" max="9" width="16.5703125" style="83" customWidth="1"/>
    <col min="10" max="10" width="17.7109375" style="83" customWidth="1"/>
    <col min="11" max="11" width="18.28515625" style="83" customWidth="1"/>
    <col min="12" max="12" width="17" style="83" customWidth="1"/>
    <col min="13" max="13" width="2" style="83" customWidth="1"/>
    <col min="14" max="14" width="11.42578125" style="83"/>
    <col min="15" max="15" width="6.7109375" style="83" customWidth="1"/>
    <col min="16" max="16" width="7.140625" style="83" customWidth="1"/>
    <col min="17" max="20" width="10.7109375" style="83" customWidth="1"/>
    <col min="21" max="1025" width="11.42578125" style="83"/>
  </cols>
  <sheetData>
    <row r="1" spans="1:17" s="26" customFormat="1" ht="40.700000000000003" customHeight="1" x14ac:dyDescent="0.25">
      <c r="A1" s="13"/>
      <c r="B1" s="14"/>
      <c r="C1" s="444" t="s">
        <v>917</v>
      </c>
      <c r="D1" s="444"/>
      <c r="E1" s="444"/>
      <c r="F1" s="444"/>
      <c r="G1" s="444"/>
      <c r="H1" s="444"/>
      <c r="I1" s="444"/>
      <c r="J1" s="444"/>
      <c r="K1" s="444"/>
      <c r="L1" s="444"/>
      <c r="M1" s="444"/>
      <c r="N1" s="27"/>
      <c r="O1" s="27"/>
      <c r="P1" s="27"/>
      <c r="Q1" s="27"/>
    </row>
    <row r="2" spans="1:17" s="26" customFormat="1" ht="40.700000000000003" customHeight="1" x14ac:dyDescent="0.25">
      <c r="A2" s="13"/>
      <c r="B2" s="14"/>
      <c r="C2" s="13"/>
      <c r="G2" s="27"/>
      <c r="H2" s="27"/>
      <c r="I2" s="27"/>
      <c r="J2" s="27"/>
      <c r="K2" s="27"/>
      <c r="L2" s="27"/>
      <c r="M2" s="27"/>
      <c r="N2" s="27"/>
      <c r="O2" s="27"/>
      <c r="P2" s="27"/>
      <c r="Q2" s="27"/>
    </row>
    <row r="3" spans="1:17" s="26" customFormat="1" ht="16.5" customHeight="1" x14ac:dyDescent="0.25">
      <c r="A3" s="17" t="s">
        <v>827</v>
      </c>
      <c r="B3" s="16"/>
      <c r="C3" s="13"/>
      <c r="D3" s="494" t="s">
        <v>920</v>
      </c>
      <c r="E3" s="494"/>
      <c r="F3" s="494"/>
      <c r="G3" s="494"/>
      <c r="H3" s="494"/>
      <c r="I3" s="494"/>
      <c r="J3" s="494"/>
      <c r="K3" s="494"/>
      <c r="L3" s="494"/>
      <c r="N3" s="27"/>
      <c r="O3" s="27"/>
      <c r="P3" s="27"/>
      <c r="Q3" s="27"/>
    </row>
    <row r="4" spans="1:17" s="26" customFormat="1" ht="16.5" customHeight="1" x14ac:dyDescent="0.25">
      <c r="A4" s="17" t="s">
        <v>828</v>
      </c>
      <c r="B4" s="16"/>
      <c r="C4" s="13"/>
      <c r="D4" s="494"/>
      <c r="E4" s="494"/>
      <c r="F4" s="494"/>
      <c r="G4" s="494"/>
      <c r="H4" s="494"/>
      <c r="I4" s="494"/>
      <c r="J4" s="494"/>
      <c r="K4" s="494"/>
      <c r="L4" s="494"/>
      <c r="N4" s="27"/>
      <c r="O4" s="27"/>
      <c r="P4" s="27"/>
      <c r="Q4" s="27"/>
    </row>
    <row r="5" spans="1:17" s="26" customFormat="1" ht="16.5" customHeight="1" x14ac:dyDescent="0.25">
      <c r="A5" s="17" t="s">
        <v>829</v>
      </c>
      <c r="B5" s="16"/>
      <c r="C5" s="13"/>
      <c r="D5" s="87"/>
      <c r="E5" s="41"/>
      <c r="F5" s="41"/>
      <c r="G5" s="41"/>
      <c r="H5" s="41"/>
      <c r="I5" s="41"/>
      <c r="J5" s="41"/>
      <c r="K5" s="41"/>
      <c r="L5" s="46"/>
      <c r="M5" s="46"/>
      <c r="N5" s="27"/>
      <c r="O5" s="27"/>
      <c r="P5" s="27"/>
      <c r="Q5" s="27"/>
    </row>
    <row r="6" spans="1:17" s="26" customFormat="1" ht="16.5" customHeight="1" x14ac:dyDescent="0.25">
      <c r="A6" s="17" t="s">
        <v>830</v>
      </c>
      <c r="B6" s="16"/>
      <c r="C6" s="13"/>
      <c r="D6" s="470" t="s">
        <v>918</v>
      </c>
      <c r="E6" s="470"/>
      <c r="F6" s="470"/>
      <c r="G6" s="470"/>
      <c r="H6" s="470"/>
      <c r="I6" s="470"/>
      <c r="J6" s="470"/>
      <c r="K6" s="470"/>
      <c r="L6" s="470"/>
      <c r="M6" s="46"/>
      <c r="N6" s="27"/>
      <c r="O6" s="27"/>
      <c r="P6" s="27"/>
      <c r="Q6" s="27"/>
    </row>
    <row r="7" spans="1:17" s="41" customFormat="1" ht="16.5" customHeight="1" x14ac:dyDescent="0.25">
      <c r="A7" s="15" t="s">
        <v>842</v>
      </c>
      <c r="B7" s="16"/>
      <c r="C7" s="13"/>
      <c r="D7" s="87"/>
    </row>
    <row r="8" spans="1:17" s="41" customFormat="1" ht="16.5" customHeight="1" x14ac:dyDescent="0.25">
      <c r="A8" s="17" t="s">
        <v>832</v>
      </c>
      <c r="B8" s="16"/>
      <c r="C8" s="13"/>
      <c r="D8" s="487" t="s">
        <v>921</v>
      </c>
      <c r="E8" s="487"/>
      <c r="F8" s="487"/>
      <c r="G8" s="487"/>
      <c r="H8" s="487"/>
      <c r="I8" s="487"/>
      <c r="J8" s="487"/>
      <c r="K8" s="487"/>
      <c r="L8" s="88"/>
    </row>
    <row r="9" spans="1:17" s="41" customFormat="1" ht="16.5" customHeight="1" x14ac:dyDescent="0.25">
      <c r="A9" s="17" t="s">
        <v>833</v>
      </c>
      <c r="B9" s="16"/>
      <c r="C9" s="13"/>
      <c r="D9" s="487"/>
      <c r="E9" s="487"/>
      <c r="F9" s="487"/>
      <c r="G9" s="487"/>
      <c r="H9" s="487"/>
      <c r="I9" s="487"/>
      <c r="J9" s="487"/>
      <c r="K9" s="487"/>
      <c r="L9" s="88"/>
      <c r="M9" s="46"/>
    </row>
    <row r="10" spans="1:17" s="41" customFormat="1" ht="16.5" customHeight="1" x14ac:dyDescent="0.25">
      <c r="A10" s="17" t="s">
        <v>834</v>
      </c>
      <c r="B10" s="13"/>
      <c r="C10" s="13"/>
      <c r="D10" s="445" t="s">
        <v>1005</v>
      </c>
      <c r="E10" s="445"/>
      <c r="F10" s="445"/>
      <c r="G10" s="445"/>
      <c r="H10" s="445"/>
      <c r="I10" s="445"/>
      <c r="J10" s="445"/>
      <c r="K10" s="445"/>
      <c r="L10" s="88"/>
      <c r="M10" s="46"/>
    </row>
    <row r="11" spans="1:17" s="41" customFormat="1" ht="6.75" hidden="1" customHeight="1" x14ac:dyDescent="0.25">
      <c r="A11" s="17"/>
      <c r="B11" s="13"/>
      <c r="C11" s="13"/>
      <c r="D11" s="445"/>
      <c r="E11" s="445"/>
      <c r="F11" s="445"/>
      <c r="G11" s="445"/>
      <c r="H11" s="445"/>
      <c r="I11" s="445"/>
      <c r="J11" s="445"/>
      <c r="K11" s="445"/>
      <c r="L11" s="34"/>
      <c r="M11" s="69"/>
    </row>
    <row r="12" spans="1:17" s="2" customFormat="1" ht="16.5" customHeight="1" x14ac:dyDescent="0.3">
      <c r="A12" s="17" t="s">
        <v>835</v>
      </c>
      <c r="B12" s="13"/>
      <c r="C12" s="13"/>
      <c r="D12" s="445"/>
      <c r="E12" s="445"/>
      <c r="F12" s="445"/>
      <c r="G12" s="445"/>
      <c r="H12" s="445"/>
      <c r="I12" s="445"/>
      <c r="J12" s="445"/>
      <c r="K12" s="445"/>
      <c r="L12" s="88"/>
      <c r="M12" s="46"/>
    </row>
    <row r="13" spans="1:17" s="2" customFormat="1" ht="16.5" customHeight="1" x14ac:dyDescent="0.3">
      <c r="A13" s="18"/>
      <c r="B13" s="13"/>
      <c r="C13" s="13"/>
      <c r="D13" s="445"/>
      <c r="E13" s="445"/>
      <c r="F13" s="445"/>
      <c r="G13" s="445"/>
      <c r="H13" s="445"/>
      <c r="I13" s="445"/>
      <c r="J13" s="445"/>
      <c r="K13" s="445"/>
      <c r="L13" s="88"/>
      <c r="M13" s="46"/>
    </row>
    <row r="14" spans="1:17" s="2" customFormat="1" ht="15.6" customHeight="1" x14ac:dyDescent="0.3">
      <c r="A14" s="17"/>
      <c r="B14" s="13"/>
      <c r="C14" s="13"/>
      <c r="D14" s="445"/>
      <c r="E14" s="445"/>
      <c r="F14" s="445"/>
      <c r="G14" s="445"/>
      <c r="H14" s="445"/>
      <c r="I14" s="445"/>
      <c r="J14" s="445"/>
      <c r="K14" s="445"/>
      <c r="L14" s="88"/>
      <c r="M14" s="46"/>
    </row>
    <row r="15" spans="1:17" s="2" customFormat="1" ht="18.75" customHeight="1" x14ac:dyDescent="0.3">
      <c r="A15" s="17"/>
      <c r="B15" s="13"/>
      <c r="C15" s="13"/>
      <c r="D15" s="445"/>
      <c r="E15" s="445"/>
      <c r="F15" s="445"/>
      <c r="G15" s="445"/>
      <c r="H15" s="445"/>
      <c r="I15" s="445"/>
      <c r="J15" s="445"/>
      <c r="K15" s="445"/>
      <c r="L15" s="93"/>
      <c r="M15" s="46"/>
    </row>
    <row r="16" spans="1:17" s="2" customFormat="1" ht="18.75" customHeight="1" x14ac:dyDescent="0.3">
      <c r="A16" s="18"/>
      <c r="B16" s="13"/>
      <c r="C16" s="13"/>
      <c r="D16" s="496" t="str">
        <f>IF(ISNUMBER('0_Dades generals organització'!$G$3),"",IF(OR(ISNUMBER(H21),ISNUMBER(H22),ISNUMBER(H23),ISNUMBER(H24),ISNUMBER(H25),ISNUMBER(H26),ISNUMBER(H27),ISNUMBER(H28),ISNUMBER(H29),ISNUMBER(H30),ISNUMBER(H31),ISNUMBER(H32),ISNUMBER(H33),ISNUMBER(H34),ISNUMBER(H35),ISNUMBER(H36),ISNUMBER(H37),ISNUMBER(H38),ISNUMBER(H41),ISNUMBER(H42)),"Introdueixi l'ANY DE CÀLCUL a la pestanya 0_Dades generals organització i en aquest mateix quadre respongui si disposa o no de GdO i indiqui la COMERCIALITZADORA que té contractada",""))</f>
        <v/>
      </c>
      <c r="E16" s="496"/>
      <c r="F16" s="496"/>
      <c r="G16" s="496"/>
      <c r="H16" s="496"/>
      <c r="I16" s="496"/>
      <c r="J16" s="496"/>
      <c r="K16" s="496"/>
      <c r="L16" s="496"/>
      <c r="M16" s="46"/>
    </row>
    <row r="17" spans="1:17" s="2" customFormat="1" ht="22.5" customHeight="1" x14ac:dyDescent="0.35">
      <c r="A17" s="47"/>
      <c r="B17" s="13"/>
      <c r="C17" s="13"/>
      <c r="D17" s="97"/>
      <c r="E17" s="497" t="s">
        <v>922</v>
      </c>
      <c r="F17" s="497"/>
      <c r="G17" s="497"/>
      <c r="H17" s="497"/>
      <c r="I17" s="497"/>
      <c r="J17" s="497"/>
      <c r="K17" s="497"/>
      <c r="Q17" s="98"/>
    </row>
    <row r="18" spans="1:17" s="2" customFormat="1" ht="24.75" customHeight="1" x14ac:dyDescent="0.35">
      <c r="A18" s="47"/>
      <c r="B18" s="13"/>
      <c r="C18" s="13"/>
      <c r="D18" s="99"/>
      <c r="E18" s="464" t="s">
        <v>849</v>
      </c>
      <c r="F18" s="464" t="s">
        <v>923</v>
      </c>
      <c r="G18" s="464" t="s">
        <v>1006</v>
      </c>
      <c r="H18" s="464" t="s">
        <v>924</v>
      </c>
      <c r="I18" s="464" t="s">
        <v>925</v>
      </c>
      <c r="J18" s="464" t="s">
        <v>926</v>
      </c>
      <c r="K18" s="464" t="s">
        <v>927</v>
      </c>
      <c r="Q18" s="98"/>
    </row>
    <row r="19" spans="1:17" s="2" customFormat="1" ht="12.75" customHeight="1" x14ac:dyDescent="0.3">
      <c r="A19" s="47"/>
      <c r="B19" s="13"/>
      <c r="C19" s="13"/>
      <c r="E19" s="464"/>
      <c r="F19" s="464"/>
      <c r="G19" s="464"/>
      <c r="H19" s="464"/>
      <c r="I19" s="464"/>
      <c r="J19" s="464"/>
      <c r="K19" s="464"/>
    </row>
    <row r="20" spans="1:17" s="2" customFormat="1" ht="21" hidden="1" customHeight="1" x14ac:dyDescent="0.3">
      <c r="A20" s="47"/>
      <c r="B20" s="13"/>
      <c r="C20" s="13"/>
      <c r="E20" s="52" t="s">
        <v>849</v>
      </c>
      <c r="F20" s="53"/>
      <c r="G20" s="53"/>
      <c r="H20" s="54"/>
      <c r="I20" s="54"/>
      <c r="J20" s="100" t="s">
        <v>19</v>
      </c>
      <c r="K20" s="74"/>
    </row>
    <row r="21" spans="1:17" s="2" customFormat="1" x14ac:dyDescent="0.3">
      <c r="A21" s="47"/>
      <c r="B21" s="13"/>
      <c r="C21" s="13"/>
      <c r="E21" s="415"/>
      <c r="F21" s="425"/>
      <c r="G21" s="426"/>
      <c r="H21" s="429"/>
      <c r="I21" s="90" t="str">
        <f>IF(H21="","",IF(OR(G21="",G21=Dades!$AC$638),Dades!$AD$638,Dades!$AD$637))</f>
        <v/>
      </c>
      <c r="J21" s="91" t="str">
        <f>IF(I21="","",H21*I21)</f>
        <v/>
      </c>
      <c r="K21" s="58">
        <f>SUM(J21:J42)</f>
        <v>0</v>
      </c>
    </row>
    <row r="22" spans="1:17" s="2" customFormat="1" ht="15" customHeight="1" x14ac:dyDescent="0.3">
      <c r="A22" s="47"/>
      <c r="B22" s="13"/>
      <c r="C22" s="13"/>
      <c r="E22" s="415"/>
      <c r="F22" s="425"/>
      <c r="G22" s="426"/>
      <c r="H22" s="429"/>
      <c r="I22" s="90" t="str">
        <f>IF(H22="","",IF(OR(G22="",G22=Dades!$AC$638),Dades!$AD$638,Dades!$AD$637))</f>
        <v/>
      </c>
      <c r="J22" s="91" t="str">
        <f t="shared" ref="J22:J42" si="0">IF(I22="","",H22*I22)</f>
        <v/>
      </c>
      <c r="K22" s="41"/>
      <c r="L22" s="41"/>
    </row>
    <row r="23" spans="1:17" s="2" customFormat="1" ht="15" customHeight="1" x14ac:dyDescent="0.3">
      <c r="A23" s="17"/>
      <c r="B23" s="13"/>
      <c r="C23" s="13"/>
      <c r="E23" s="415"/>
      <c r="F23" s="425"/>
      <c r="G23" s="426"/>
      <c r="H23" s="429"/>
      <c r="I23" s="90" t="str">
        <f>IF(H23="","",IF(OR(G23="",G23=Dades!$AC$638),Dades!$AD$638,Dades!$AD$637))</f>
        <v/>
      </c>
      <c r="J23" s="91" t="str">
        <f t="shared" si="0"/>
        <v/>
      </c>
      <c r="K23" s="41"/>
      <c r="L23" s="41"/>
    </row>
    <row r="24" spans="1:17" s="2" customFormat="1" ht="15" customHeight="1" x14ac:dyDescent="0.3">
      <c r="A24" s="17"/>
      <c r="B24" s="13"/>
      <c r="C24" s="13"/>
      <c r="E24" s="415"/>
      <c r="F24" s="425"/>
      <c r="G24" s="426"/>
      <c r="H24" s="429"/>
      <c r="I24" s="90" t="str">
        <f>IF(H24="","",IF(OR(G24="",G24=Dades!$AC$638),Dades!$AD$638,Dades!$AD$637))</f>
        <v/>
      </c>
      <c r="J24" s="91" t="str">
        <f t="shared" si="0"/>
        <v/>
      </c>
      <c r="K24" s="41"/>
      <c r="L24" s="41"/>
    </row>
    <row r="25" spans="1:17" s="2" customFormat="1" ht="15" customHeight="1" x14ac:dyDescent="0.3">
      <c r="A25" s="17"/>
      <c r="B25" s="13"/>
      <c r="C25" s="13"/>
      <c r="E25" s="415"/>
      <c r="F25" s="425"/>
      <c r="G25" s="426"/>
      <c r="H25" s="429"/>
      <c r="I25" s="90" t="str">
        <f>IF(H25="","",IF(OR(G25="",G25=Dades!$AC$638),Dades!$AD$638,Dades!$AD$637))</f>
        <v/>
      </c>
      <c r="J25" s="91" t="str">
        <f t="shared" si="0"/>
        <v/>
      </c>
      <c r="K25" s="41"/>
      <c r="L25" s="41"/>
    </row>
    <row r="26" spans="1:17" s="2" customFormat="1" ht="15" customHeight="1" x14ac:dyDescent="0.3">
      <c r="A26" s="17"/>
      <c r="B26" s="13"/>
      <c r="C26" s="13"/>
      <c r="E26" s="415"/>
      <c r="F26" s="425"/>
      <c r="G26" s="426"/>
      <c r="H26" s="429"/>
      <c r="I26" s="90" t="str">
        <f>IF(H26="","",IF(OR(G26="",G26=Dades!$AC$638),Dades!$AD$638,Dades!$AD$637))</f>
        <v/>
      </c>
      <c r="J26" s="91" t="str">
        <f t="shared" si="0"/>
        <v/>
      </c>
      <c r="K26" s="41"/>
      <c r="L26" s="41"/>
    </row>
    <row r="27" spans="1:17" s="2" customFormat="1" ht="15" customHeight="1" x14ac:dyDescent="0.3">
      <c r="A27" s="17"/>
      <c r="B27" s="13"/>
      <c r="C27" s="13"/>
      <c r="E27" s="415"/>
      <c r="F27" s="425"/>
      <c r="G27" s="426"/>
      <c r="H27" s="429"/>
      <c r="I27" s="90" t="str">
        <f>IF(H27="","",IF(OR(G27="",G27=Dades!$AC$638),Dades!$AD$638,Dades!$AD$637))</f>
        <v/>
      </c>
      <c r="J27" s="91" t="str">
        <f t="shared" si="0"/>
        <v/>
      </c>
      <c r="K27" s="41"/>
      <c r="L27" s="41"/>
    </row>
    <row r="28" spans="1:17" s="2" customFormat="1" ht="15" customHeight="1" x14ac:dyDescent="0.3">
      <c r="A28" s="17"/>
      <c r="B28" s="13"/>
      <c r="C28" s="13"/>
      <c r="E28" s="415"/>
      <c r="F28" s="425"/>
      <c r="G28" s="426"/>
      <c r="H28" s="429"/>
      <c r="I28" s="90" t="str">
        <f>IF(H28="","",IF(OR(G28="",G28=Dades!$AC$638),Dades!$AD$638,Dades!$AD$637))</f>
        <v/>
      </c>
      <c r="J28" s="91" t="str">
        <f t="shared" si="0"/>
        <v/>
      </c>
      <c r="K28" s="41"/>
      <c r="L28" s="41"/>
    </row>
    <row r="29" spans="1:17" s="2" customFormat="1" ht="15" customHeight="1" x14ac:dyDescent="0.3">
      <c r="A29" s="17"/>
      <c r="B29" s="13"/>
      <c r="C29" s="13"/>
      <c r="E29" s="415"/>
      <c r="F29" s="425"/>
      <c r="G29" s="426"/>
      <c r="H29" s="429"/>
      <c r="I29" s="90" t="str">
        <f>IF(H29="","",IF(OR(G29="",G29=Dades!$AC$638),Dades!$AD$638,Dades!$AD$637))</f>
        <v/>
      </c>
      <c r="J29" s="91" t="str">
        <f t="shared" si="0"/>
        <v/>
      </c>
      <c r="K29" s="41"/>
      <c r="L29" s="41"/>
    </row>
    <row r="30" spans="1:17" s="2" customFormat="1" ht="15" customHeight="1" x14ac:dyDescent="0.3">
      <c r="A30" s="17"/>
      <c r="B30" s="13"/>
      <c r="C30" s="13"/>
      <c r="E30" s="415"/>
      <c r="F30" s="425"/>
      <c r="G30" s="426"/>
      <c r="H30" s="429"/>
      <c r="I30" s="90" t="str">
        <f>IF(H30="","",IF(OR(G30="",G30=Dades!$AC$638),Dades!$AD$638,Dades!$AD$637))</f>
        <v/>
      </c>
      <c r="J30" s="91" t="str">
        <f t="shared" si="0"/>
        <v/>
      </c>
      <c r="K30" s="41"/>
      <c r="L30" s="41"/>
    </row>
    <row r="31" spans="1:17" s="2" customFormat="1" ht="15" customHeight="1" x14ac:dyDescent="0.3">
      <c r="A31" s="17"/>
      <c r="B31" s="13"/>
      <c r="C31" s="13"/>
      <c r="E31" s="415"/>
      <c r="F31" s="425"/>
      <c r="G31" s="426"/>
      <c r="H31" s="429"/>
      <c r="I31" s="90" t="str">
        <f>IF(H31="","",IF(OR(G31="",G31=Dades!$AC$638),Dades!$AD$638,Dades!$AD$637))</f>
        <v/>
      </c>
      <c r="J31" s="91" t="str">
        <f t="shared" si="0"/>
        <v/>
      </c>
      <c r="K31" s="41"/>
      <c r="L31" s="41"/>
    </row>
    <row r="32" spans="1:17" s="2" customFormat="1" ht="15" customHeight="1" x14ac:dyDescent="0.3">
      <c r="A32" s="17"/>
      <c r="B32" s="13"/>
      <c r="C32" s="13"/>
      <c r="E32" s="415"/>
      <c r="F32" s="425"/>
      <c r="G32" s="426"/>
      <c r="H32" s="429"/>
      <c r="I32" s="90" t="str">
        <f>IF(H32="","",IF(OR(G32="",G32=Dades!$AC$638),Dades!$AD$638,Dades!$AD$637))</f>
        <v/>
      </c>
      <c r="J32" s="91" t="str">
        <f t="shared" si="0"/>
        <v/>
      </c>
      <c r="K32" s="41"/>
      <c r="L32" s="41"/>
    </row>
    <row r="33" spans="1:17" s="2" customFormat="1" ht="15" customHeight="1" x14ac:dyDescent="0.3">
      <c r="A33" s="17"/>
      <c r="B33" s="13"/>
      <c r="C33" s="13"/>
      <c r="E33" s="415"/>
      <c r="F33" s="425"/>
      <c r="G33" s="426"/>
      <c r="H33" s="429"/>
      <c r="I33" s="90" t="str">
        <f>IF(H33="","",IF(OR(G33="",G33=Dades!$AC$638),Dades!$AD$638,Dades!$AD$637))</f>
        <v/>
      </c>
      <c r="J33" s="91" t="str">
        <f t="shared" si="0"/>
        <v/>
      </c>
      <c r="K33" s="41"/>
      <c r="L33" s="41"/>
    </row>
    <row r="34" spans="1:17" s="2" customFormat="1" ht="15" customHeight="1" x14ac:dyDescent="0.3">
      <c r="A34" s="47"/>
      <c r="B34" s="13"/>
      <c r="C34" s="13"/>
      <c r="E34" s="415"/>
      <c r="F34" s="425"/>
      <c r="G34" s="426"/>
      <c r="H34" s="429"/>
      <c r="I34" s="90" t="str">
        <f>IF(H34="","",IF(OR(G34="",G34=Dades!$AC$638),Dades!$AD$638,Dades!$AD$637))</f>
        <v/>
      </c>
      <c r="J34" s="91" t="str">
        <f t="shared" si="0"/>
        <v/>
      </c>
      <c r="K34" s="41"/>
      <c r="L34" s="41"/>
    </row>
    <row r="35" spans="1:17" s="2" customFormat="1" ht="15" customHeight="1" x14ac:dyDescent="0.3">
      <c r="A35" s="47"/>
      <c r="B35" s="13"/>
      <c r="C35" s="13"/>
      <c r="E35" s="415"/>
      <c r="F35" s="425"/>
      <c r="G35" s="426"/>
      <c r="H35" s="429"/>
      <c r="I35" s="90" t="str">
        <f>IF(H35="","",IF(OR(G35="",G35=Dades!$AC$638),Dades!$AD$638,Dades!$AD$637))</f>
        <v/>
      </c>
      <c r="J35" s="91" t="str">
        <f t="shared" si="0"/>
        <v/>
      </c>
      <c r="K35" s="41"/>
      <c r="L35" s="41"/>
    </row>
    <row r="36" spans="1:17" s="2" customFormat="1" ht="15" customHeight="1" x14ac:dyDescent="0.3">
      <c r="A36" s="47"/>
      <c r="B36" s="13"/>
      <c r="C36" s="13"/>
      <c r="E36" s="415"/>
      <c r="F36" s="425"/>
      <c r="G36" s="426"/>
      <c r="H36" s="429"/>
      <c r="I36" s="90" t="str">
        <f>IF(H36="","",IF(OR(G36="",G36=Dades!$AC$638),Dades!$AD$638,Dades!$AD$637))</f>
        <v/>
      </c>
      <c r="J36" s="91" t="str">
        <f t="shared" si="0"/>
        <v/>
      </c>
      <c r="K36" s="41"/>
      <c r="L36" s="41"/>
    </row>
    <row r="37" spans="1:17" s="2" customFormat="1" ht="15" customHeight="1" x14ac:dyDescent="0.3">
      <c r="A37" s="47"/>
      <c r="B37" s="13"/>
      <c r="C37" s="13"/>
      <c r="E37" s="415"/>
      <c r="F37" s="425"/>
      <c r="G37" s="426"/>
      <c r="H37" s="429"/>
      <c r="I37" s="90" t="str">
        <f>IF(H37="","",IF(OR(G37="",G37=Dades!$AC$638),Dades!$AD$638,Dades!$AD$637))</f>
        <v/>
      </c>
      <c r="J37" s="91" t="str">
        <f t="shared" si="0"/>
        <v/>
      </c>
      <c r="K37" s="41"/>
      <c r="L37" s="41"/>
    </row>
    <row r="38" spans="1:17" s="2" customFormat="1" x14ac:dyDescent="0.3">
      <c r="A38" s="47"/>
      <c r="B38" s="13"/>
      <c r="C38" s="13"/>
      <c r="E38" s="415"/>
      <c r="F38" s="425"/>
      <c r="G38" s="426"/>
      <c r="H38" s="429"/>
      <c r="I38" s="90" t="str">
        <f>IF(H38="","",IF(OR(G38="",G38=Dades!$AC$638),Dades!$AD$638,Dades!$AD$637))</f>
        <v/>
      </c>
      <c r="J38" s="91" t="str">
        <f t="shared" si="0"/>
        <v/>
      </c>
      <c r="K38" s="41"/>
      <c r="L38" s="41"/>
    </row>
    <row r="39" spans="1:17" s="2" customFormat="1" x14ac:dyDescent="0.3">
      <c r="A39" s="47"/>
      <c r="B39" s="13"/>
      <c r="C39" s="13"/>
      <c r="E39" s="415"/>
      <c r="F39" s="425"/>
      <c r="G39" s="426"/>
      <c r="H39" s="429"/>
      <c r="I39" s="90" t="str">
        <f>IF(H39="","",IF(OR(G39="",G39=Dades!$AC$638),Dades!$AD$638,Dades!$AD$637))</f>
        <v/>
      </c>
      <c r="J39" s="91" t="str">
        <f t="shared" si="0"/>
        <v/>
      </c>
      <c r="K39" s="41"/>
      <c r="L39" s="41"/>
    </row>
    <row r="40" spans="1:17" s="2" customFormat="1" x14ac:dyDescent="0.3">
      <c r="A40" s="47"/>
      <c r="B40" s="13"/>
      <c r="C40" s="13"/>
      <c r="E40" s="415"/>
      <c r="F40" s="425"/>
      <c r="G40" s="426"/>
      <c r="H40" s="429"/>
      <c r="I40" s="90" t="str">
        <f>IF(H40="","",IF(OR(G40="",G40=Dades!$AC$638),Dades!$AD$638,Dades!$AD$637))</f>
        <v/>
      </c>
      <c r="J40" s="91" t="str">
        <f t="shared" si="0"/>
        <v/>
      </c>
      <c r="K40" s="41"/>
      <c r="L40" s="41"/>
    </row>
    <row r="41" spans="1:17" s="2" customFormat="1" x14ac:dyDescent="0.3">
      <c r="A41" s="47"/>
      <c r="B41" s="13"/>
      <c r="C41" s="13"/>
      <c r="E41" s="415"/>
      <c r="F41" s="425"/>
      <c r="G41" s="426"/>
      <c r="H41" s="429"/>
      <c r="I41" s="90" t="str">
        <f>IF(H41="","",IF(OR(G41="",G41=Dades!$AC$638),Dades!$AD$638,Dades!$AD$637))</f>
        <v/>
      </c>
      <c r="J41" s="91" t="str">
        <f t="shared" si="0"/>
        <v/>
      </c>
      <c r="K41" s="41"/>
      <c r="L41" s="41"/>
    </row>
    <row r="42" spans="1:17" s="2" customFormat="1" x14ac:dyDescent="0.3">
      <c r="A42" s="47"/>
      <c r="B42" s="13"/>
      <c r="C42" s="13"/>
      <c r="E42" s="415"/>
      <c r="F42" s="425"/>
      <c r="G42" s="426"/>
      <c r="H42" s="429"/>
      <c r="I42" s="90" t="str">
        <f>IF(H42="","",IF(OR(G42="",G42=Dades!$AC$638),Dades!$AD$638,Dades!$AD$637))</f>
        <v/>
      </c>
      <c r="J42" s="91" t="str">
        <f t="shared" si="0"/>
        <v/>
      </c>
      <c r="K42" s="41"/>
      <c r="L42" s="41"/>
    </row>
    <row r="43" spans="1:17" s="2" customFormat="1" x14ac:dyDescent="0.3">
      <c r="A43" s="47"/>
      <c r="B43" s="13"/>
      <c r="C43" s="13"/>
    </row>
    <row r="44" spans="1:17" s="26" customFormat="1" ht="16.5" customHeight="1" x14ac:dyDescent="0.25">
      <c r="A44" s="47"/>
      <c r="B44" s="16"/>
      <c r="C44" s="13"/>
      <c r="D44" s="470" t="s">
        <v>919</v>
      </c>
      <c r="E44" s="470"/>
      <c r="F44" s="470"/>
      <c r="G44" s="470"/>
      <c r="H44" s="470"/>
      <c r="I44" s="470"/>
      <c r="J44" s="470"/>
      <c r="K44" s="470"/>
      <c r="L44" s="470"/>
      <c r="M44" s="46"/>
      <c r="N44" s="27"/>
      <c r="O44" s="27"/>
      <c r="P44" s="27"/>
      <c r="Q44" s="27"/>
    </row>
    <row r="45" spans="1:17" s="2" customFormat="1" ht="42" customHeight="1" x14ac:dyDescent="0.3">
      <c r="A45" s="47"/>
      <c r="B45" s="13"/>
      <c r="C45" s="13"/>
      <c r="D45" s="487" t="s">
        <v>934</v>
      </c>
      <c r="E45" s="487"/>
      <c r="F45" s="487"/>
      <c r="G45" s="487"/>
      <c r="H45" s="487"/>
      <c r="I45" s="487"/>
      <c r="J45" s="487"/>
      <c r="K45" s="487"/>
      <c r="L45" s="101"/>
      <c r="M45" s="46"/>
    </row>
    <row r="46" spans="1:17" s="2" customFormat="1" ht="68.25" customHeight="1" x14ac:dyDescent="0.3">
      <c r="A46" s="47"/>
      <c r="B46" s="13"/>
      <c r="C46" s="13"/>
      <c r="E46" s="499" t="s">
        <v>935</v>
      </c>
      <c r="F46" s="499"/>
      <c r="G46" s="499"/>
      <c r="H46" s="499"/>
      <c r="I46" s="499"/>
      <c r="J46" s="499"/>
      <c r="K46" s="499"/>
    </row>
    <row r="47" spans="1:17" s="2" customFormat="1" ht="25.5" customHeight="1" x14ac:dyDescent="0.3">
      <c r="A47" s="47"/>
      <c r="B47" s="13"/>
      <c r="C47" s="13"/>
      <c r="E47" s="491" t="s">
        <v>933</v>
      </c>
      <c r="F47" s="492"/>
      <c r="G47" s="492"/>
      <c r="H47" s="492"/>
      <c r="I47" s="492"/>
      <c r="J47" s="492"/>
      <c r="K47" s="492"/>
      <c r="L47" s="493"/>
    </row>
    <row r="48" spans="1:17" s="2" customFormat="1" ht="16.5" customHeight="1" x14ac:dyDescent="0.3">
      <c r="A48" s="47"/>
      <c r="B48" s="13"/>
      <c r="C48" s="13"/>
      <c r="E48" s="464" t="s">
        <v>1000</v>
      </c>
      <c r="F48" s="464" t="s">
        <v>930</v>
      </c>
      <c r="G48" s="465" t="s">
        <v>931</v>
      </c>
      <c r="H48" s="465" t="s">
        <v>1006</v>
      </c>
      <c r="I48" s="465" t="s">
        <v>932</v>
      </c>
      <c r="J48" s="465" t="s">
        <v>929</v>
      </c>
      <c r="K48" s="465" t="s">
        <v>926</v>
      </c>
      <c r="L48" s="465" t="s">
        <v>928</v>
      </c>
      <c r="M48" s="68"/>
    </row>
    <row r="49" spans="1:12" s="2" customFormat="1" x14ac:dyDescent="0.3">
      <c r="A49" s="47"/>
      <c r="B49" s="13"/>
      <c r="C49" s="13"/>
      <c r="E49" s="464"/>
      <c r="F49" s="464"/>
      <c r="G49" s="466"/>
      <c r="H49" s="466"/>
      <c r="I49" s="466"/>
      <c r="J49" s="466"/>
      <c r="K49" s="466"/>
      <c r="L49" s="466"/>
    </row>
    <row r="50" spans="1:12" s="2" customFormat="1" ht="17.25" hidden="1" customHeight="1" x14ac:dyDescent="0.3">
      <c r="A50" s="47"/>
      <c r="B50" s="13"/>
      <c r="C50" s="13"/>
      <c r="E50" s="52" t="s">
        <v>849</v>
      </c>
      <c r="F50" s="53"/>
      <c r="G50" s="53"/>
      <c r="H50" s="54"/>
      <c r="I50" s="54"/>
      <c r="J50" s="100"/>
      <c r="K50" s="100" t="s">
        <v>19</v>
      </c>
      <c r="L50" s="74"/>
    </row>
    <row r="51" spans="1:12" s="2" customFormat="1" x14ac:dyDescent="0.3">
      <c r="A51" s="47"/>
      <c r="B51" s="13"/>
      <c r="C51" s="13"/>
      <c r="E51" s="415"/>
      <c r="F51" s="430"/>
      <c r="G51" s="425"/>
      <c r="H51" s="426"/>
      <c r="I51" s="429"/>
      <c r="J51" s="90" t="str">
        <f>IF(I51="","",IF(OR(H51="",H51=Dades!$AC$638),Dades!$AD$638,Dades!$AD$637))</f>
        <v/>
      </c>
      <c r="K51" s="91" t="str">
        <f>IF(J51="","",I51*J51)</f>
        <v/>
      </c>
      <c r="L51" s="58">
        <f>SUM(K51:K70)</f>
        <v>0</v>
      </c>
    </row>
    <row r="52" spans="1:12" s="2" customFormat="1" x14ac:dyDescent="0.3">
      <c r="A52" s="22"/>
      <c r="B52" s="13"/>
      <c r="C52" s="13"/>
      <c r="E52" s="415"/>
      <c r="F52" s="430"/>
      <c r="G52" s="425"/>
      <c r="H52" s="426"/>
      <c r="I52" s="429"/>
      <c r="J52" s="90" t="str">
        <f>IF(I52="","",IF(OR(H52="",H52=Dades!$AC$638),Dades!$AD$638,Dades!$AD$637))</f>
        <v/>
      </c>
      <c r="K52" s="91" t="str">
        <f t="shared" ref="K52:K70" si="1">IF(J52="","",I52*J52)</f>
        <v/>
      </c>
      <c r="L52" s="41"/>
    </row>
    <row r="53" spans="1:12" s="2" customFormat="1" x14ac:dyDescent="0.3">
      <c r="A53" s="22"/>
      <c r="B53" s="13"/>
      <c r="C53" s="13"/>
      <c r="E53" s="415"/>
      <c r="F53" s="430"/>
      <c r="G53" s="425"/>
      <c r="H53" s="426"/>
      <c r="I53" s="429"/>
      <c r="J53" s="90" t="str">
        <f>IF(I53="","",IF(OR(H53="",H53=Dades!$AC$638),Dades!$AD$638,Dades!$AD$637))</f>
        <v/>
      </c>
      <c r="K53" s="91" t="str">
        <f t="shared" si="1"/>
        <v/>
      </c>
      <c r="L53" s="41"/>
    </row>
    <row r="54" spans="1:12" s="2" customFormat="1" x14ac:dyDescent="0.3">
      <c r="A54" s="22"/>
      <c r="B54" s="13"/>
      <c r="C54" s="13"/>
      <c r="E54" s="415"/>
      <c r="F54" s="430"/>
      <c r="G54" s="425"/>
      <c r="H54" s="426"/>
      <c r="I54" s="429"/>
      <c r="J54" s="90" t="str">
        <f>IF(I54="","",IF(OR(H54="",H54=Dades!$AC$638),Dades!$AD$638,Dades!$AD$637))</f>
        <v/>
      </c>
      <c r="K54" s="91" t="str">
        <f t="shared" si="1"/>
        <v/>
      </c>
      <c r="L54" s="41"/>
    </row>
    <row r="55" spans="1:12" s="2" customFormat="1" x14ac:dyDescent="0.3">
      <c r="A55" s="13"/>
      <c r="B55" s="13"/>
      <c r="C55" s="13"/>
      <c r="E55" s="415"/>
      <c r="F55" s="430"/>
      <c r="G55" s="425"/>
      <c r="H55" s="426"/>
      <c r="I55" s="429"/>
      <c r="J55" s="90" t="str">
        <f>IF(I55="","",IF(OR(H55="",H55=Dades!$AC$638),Dades!$AD$638,Dades!$AD$637))</f>
        <v/>
      </c>
      <c r="K55" s="91" t="str">
        <f t="shared" si="1"/>
        <v/>
      </c>
      <c r="L55" s="41"/>
    </row>
    <row r="56" spans="1:12" s="2" customFormat="1" x14ac:dyDescent="0.3">
      <c r="A56" s="26"/>
      <c r="B56" s="26"/>
      <c r="C56" s="26"/>
      <c r="E56" s="415"/>
      <c r="F56" s="430"/>
      <c r="G56" s="425"/>
      <c r="H56" s="426"/>
      <c r="I56" s="429"/>
      <c r="J56" s="90" t="str">
        <f>IF(I56="","",IF(OR(H56="",H56=Dades!$AC$638),Dades!$AD$638,Dades!$AD$637))</f>
        <v/>
      </c>
      <c r="K56" s="91" t="str">
        <f t="shared" si="1"/>
        <v/>
      </c>
      <c r="L56" s="41"/>
    </row>
    <row r="57" spans="1:12" s="2" customFormat="1" x14ac:dyDescent="0.3">
      <c r="A57" s="26"/>
      <c r="B57" s="26"/>
      <c r="C57" s="26"/>
      <c r="E57" s="415"/>
      <c r="F57" s="430"/>
      <c r="G57" s="425"/>
      <c r="H57" s="426"/>
      <c r="I57" s="429"/>
      <c r="J57" s="90" t="str">
        <f>IF(I57="","",IF(OR(H57="",H57=Dades!$AC$638),Dades!$AD$638,Dades!$AD$637))</f>
        <v/>
      </c>
      <c r="K57" s="91" t="str">
        <f t="shared" si="1"/>
        <v/>
      </c>
      <c r="L57" s="41"/>
    </row>
    <row r="58" spans="1:12" s="2" customFormat="1" x14ac:dyDescent="0.3">
      <c r="A58" s="26"/>
      <c r="B58" s="26"/>
      <c r="C58" s="26"/>
      <c r="E58" s="415"/>
      <c r="F58" s="430"/>
      <c r="G58" s="425"/>
      <c r="H58" s="426"/>
      <c r="I58" s="429"/>
      <c r="J58" s="90" t="str">
        <f>IF(I58="","",IF(OR(H58="",H58=Dades!$AC$638),Dades!$AD$638,Dades!$AD$637))</f>
        <v/>
      </c>
      <c r="K58" s="91" t="str">
        <f t="shared" si="1"/>
        <v/>
      </c>
      <c r="L58" s="41"/>
    </row>
    <row r="59" spans="1:12" s="2" customFormat="1" x14ac:dyDescent="0.3">
      <c r="A59" s="26"/>
      <c r="B59" s="26"/>
      <c r="C59" s="26"/>
      <c r="E59" s="415"/>
      <c r="F59" s="430"/>
      <c r="G59" s="425"/>
      <c r="H59" s="426"/>
      <c r="I59" s="429"/>
      <c r="J59" s="90" t="str">
        <f>IF(I59="","",IF(OR(H59="",H59=Dades!$AC$638),Dades!$AD$638,Dades!$AD$637))</f>
        <v/>
      </c>
      <c r="K59" s="91" t="str">
        <f t="shared" si="1"/>
        <v/>
      </c>
      <c r="L59" s="41"/>
    </row>
    <row r="60" spans="1:12" s="2" customFormat="1" x14ac:dyDescent="0.3">
      <c r="A60" s="26"/>
      <c r="B60" s="26"/>
      <c r="C60" s="26"/>
      <c r="E60" s="415"/>
      <c r="F60" s="430"/>
      <c r="G60" s="425"/>
      <c r="H60" s="426"/>
      <c r="I60" s="429"/>
      <c r="J60" s="90" t="str">
        <f>IF(I60="","",IF(OR(H60="",H60=Dades!$AC$638),Dades!$AD$638,Dades!$AD$637))</f>
        <v/>
      </c>
      <c r="K60" s="91" t="str">
        <f t="shared" si="1"/>
        <v/>
      </c>
      <c r="L60" s="41"/>
    </row>
    <row r="61" spans="1:12" s="2" customFormat="1" x14ac:dyDescent="0.3">
      <c r="A61" s="26"/>
      <c r="B61" s="26"/>
      <c r="C61" s="26"/>
      <c r="E61" s="415"/>
      <c r="F61" s="430"/>
      <c r="G61" s="425"/>
      <c r="H61" s="426"/>
      <c r="I61" s="429"/>
      <c r="J61" s="90" t="str">
        <f>IF(I61="","",IF(OR(H61="",H61=Dades!$AC$638),Dades!$AD$638,Dades!$AD$637))</f>
        <v/>
      </c>
      <c r="K61" s="91" t="str">
        <f t="shared" si="1"/>
        <v/>
      </c>
      <c r="L61" s="41"/>
    </row>
    <row r="62" spans="1:12" s="2" customFormat="1" x14ac:dyDescent="0.3">
      <c r="A62" s="26"/>
      <c r="B62" s="26"/>
      <c r="C62" s="26"/>
      <c r="E62" s="415"/>
      <c r="F62" s="430"/>
      <c r="G62" s="425"/>
      <c r="H62" s="426"/>
      <c r="I62" s="429"/>
      <c r="J62" s="90" t="str">
        <f>IF(I62="","",IF(OR(H62="",H62=Dades!$AC$638),Dades!$AD$638,Dades!$AD$637))</f>
        <v/>
      </c>
      <c r="K62" s="91" t="str">
        <f t="shared" si="1"/>
        <v/>
      </c>
      <c r="L62" s="41"/>
    </row>
    <row r="63" spans="1:12" s="2" customFormat="1" x14ac:dyDescent="0.3">
      <c r="A63" s="26"/>
      <c r="B63" s="26"/>
      <c r="C63" s="26"/>
      <c r="E63" s="415"/>
      <c r="F63" s="430"/>
      <c r="G63" s="425"/>
      <c r="H63" s="426"/>
      <c r="I63" s="429"/>
      <c r="J63" s="90" t="str">
        <f>IF(I63="","",IF(OR(H63="",H63=Dades!$AC$638),Dades!$AD$638,Dades!$AD$637))</f>
        <v/>
      </c>
      <c r="K63" s="91" t="str">
        <f t="shared" si="1"/>
        <v/>
      </c>
      <c r="L63" s="41"/>
    </row>
    <row r="64" spans="1:12" s="2" customFormat="1" x14ac:dyDescent="0.3">
      <c r="A64" s="26"/>
      <c r="B64" s="26"/>
      <c r="C64" s="26"/>
      <c r="E64" s="415"/>
      <c r="F64" s="430"/>
      <c r="G64" s="425"/>
      <c r="H64" s="426"/>
      <c r="I64" s="429"/>
      <c r="J64" s="90" t="str">
        <f>IF(I64="","",IF(OR(H64="",H64=Dades!$AC$638),Dades!$AD$638,Dades!$AD$637))</f>
        <v/>
      </c>
      <c r="K64" s="91" t="str">
        <f t="shared" si="1"/>
        <v/>
      </c>
      <c r="L64" s="41"/>
    </row>
    <row r="65" spans="1:57" s="2" customFormat="1" x14ac:dyDescent="0.3">
      <c r="A65" s="26"/>
      <c r="B65" s="26"/>
      <c r="C65" s="26"/>
      <c r="E65" s="415"/>
      <c r="F65" s="430"/>
      <c r="G65" s="425"/>
      <c r="H65" s="426"/>
      <c r="I65" s="429"/>
      <c r="J65" s="90" t="str">
        <f>IF(I65="","",IF(OR(H65="",H65=Dades!$AC$638),Dades!$AD$638,Dades!$AD$637))</f>
        <v/>
      </c>
      <c r="K65" s="91" t="str">
        <f t="shared" si="1"/>
        <v/>
      </c>
      <c r="L65" s="41"/>
    </row>
    <row r="66" spans="1:57" s="2" customFormat="1" x14ac:dyDescent="0.3">
      <c r="A66" s="26"/>
      <c r="B66" s="26"/>
      <c r="C66" s="26"/>
      <c r="E66" s="415"/>
      <c r="F66" s="430"/>
      <c r="G66" s="425"/>
      <c r="H66" s="426"/>
      <c r="I66" s="429"/>
      <c r="J66" s="90" t="str">
        <f>IF(I66="","",IF(OR(H66="",H66=Dades!$AC$638),Dades!$AD$638,Dades!$AD$637))</f>
        <v/>
      </c>
      <c r="K66" s="91" t="str">
        <f t="shared" si="1"/>
        <v/>
      </c>
      <c r="L66" s="41"/>
    </row>
    <row r="67" spans="1:57" s="2" customFormat="1" x14ac:dyDescent="0.3">
      <c r="A67" s="26"/>
      <c r="B67" s="26"/>
      <c r="C67" s="26"/>
      <c r="E67" s="415"/>
      <c r="F67" s="430"/>
      <c r="G67" s="425"/>
      <c r="H67" s="426"/>
      <c r="I67" s="429"/>
      <c r="J67" s="90" t="str">
        <f>IF(I67="","",IF(OR(H67="",H67=Dades!$AC$638),Dades!$AD$638,Dades!$AD$637))</f>
        <v/>
      </c>
      <c r="K67" s="91" t="str">
        <f t="shared" si="1"/>
        <v/>
      </c>
      <c r="L67" s="41"/>
    </row>
    <row r="68" spans="1:57" s="2" customFormat="1" x14ac:dyDescent="0.3">
      <c r="A68" s="26"/>
      <c r="B68" s="26"/>
      <c r="C68" s="26"/>
      <c r="E68" s="415"/>
      <c r="F68" s="430"/>
      <c r="G68" s="425"/>
      <c r="H68" s="426"/>
      <c r="I68" s="429"/>
      <c r="J68" s="90" t="str">
        <f>IF(I68="","",IF(OR(H68="",H68=Dades!$AC$638),Dades!$AD$638,Dades!$AD$637))</f>
        <v/>
      </c>
      <c r="K68" s="91" t="str">
        <f t="shared" si="1"/>
        <v/>
      </c>
      <c r="L68" s="41"/>
    </row>
    <row r="69" spans="1:57" s="2" customFormat="1" x14ac:dyDescent="0.3">
      <c r="A69" s="26"/>
      <c r="B69" s="26"/>
      <c r="C69" s="26"/>
      <c r="E69" s="415"/>
      <c r="F69" s="430"/>
      <c r="G69" s="425"/>
      <c r="H69" s="426"/>
      <c r="I69" s="429"/>
      <c r="J69" s="90" t="str">
        <f>IF(I69="","",IF(OR(H69="",H69=Dades!$AC$638),Dades!$AD$638,Dades!$AD$637))</f>
        <v/>
      </c>
      <c r="K69" s="91" t="str">
        <f t="shared" si="1"/>
        <v/>
      </c>
      <c r="L69" s="41"/>
    </row>
    <row r="70" spans="1:57" s="2" customFormat="1" x14ac:dyDescent="0.3">
      <c r="A70" s="13"/>
      <c r="B70" s="13"/>
      <c r="C70" s="13"/>
      <c r="E70" s="415"/>
      <c r="F70" s="430"/>
      <c r="G70" s="425"/>
      <c r="H70" s="426"/>
      <c r="I70" s="429"/>
      <c r="J70" s="90" t="str">
        <f>IF(I70="","",IF(OR(H70="",H70=Dades!$AC$638),Dades!$AD$638,Dades!$AD$637))</f>
        <v/>
      </c>
      <c r="K70" s="91" t="str">
        <f t="shared" si="1"/>
        <v/>
      </c>
      <c r="L70" s="41"/>
    </row>
    <row r="71" spans="1:57" s="2" customFormat="1" x14ac:dyDescent="0.3">
      <c r="A71" s="13"/>
      <c r="B71" s="13"/>
      <c r="C71" s="13"/>
      <c r="J71" s="102"/>
    </row>
    <row r="72" spans="1:57" s="2" customFormat="1" x14ac:dyDescent="0.3">
      <c r="A72" s="13"/>
      <c r="B72" s="13"/>
      <c r="C72" s="13"/>
      <c r="G72" s="83"/>
      <c r="H72" s="83"/>
      <c r="I72" s="83"/>
      <c r="J72" s="83"/>
      <c r="K72" s="83"/>
      <c r="L72" s="83"/>
      <c r="M72" s="83"/>
      <c r="AW72" s="83"/>
      <c r="AX72" s="83"/>
      <c r="AY72" s="83"/>
      <c r="AZ72" s="83"/>
      <c r="BA72" s="83"/>
      <c r="BB72" s="83"/>
      <c r="BC72" s="83"/>
      <c r="BD72" s="83"/>
      <c r="BE72" s="83"/>
    </row>
    <row r="73" spans="1:57" s="2" customFormat="1" x14ac:dyDescent="0.3">
      <c r="A73" s="13"/>
      <c r="B73" s="13"/>
      <c r="C73" s="13"/>
      <c r="G73" s="83"/>
      <c r="H73" s="83"/>
      <c r="I73" s="83"/>
      <c r="J73" s="83"/>
      <c r="K73" s="83"/>
      <c r="L73" s="83"/>
      <c r="M73" s="83"/>
      <c r="AW73" s="83"/>
      <c r="AX73" s="83"/>
      <c r="AY73" s="83"/>
      <c r="AZ73" s="83"/>
      <c r="BA73" s="83"/>
      <c r="BB73" s="83"/>
      <c r="BC73" s="83"/>
      <c r="BD73" s="83"/>
      <c r="BE73" s="83"/>
    </row>
    <row r="74" spans="1:57" s="2" customFormat="1" x14ac:dyDescent="0.3">
      <c r="A74" s="13"/>
      <c r="B74" s="13"/>
      <c r="C74" s="13"/>
      <c r="G74" s="83"/>
      <c r="H74" s="83"/>
      <c r="I74" s="83"/>
      <c r="J74" s="83"/>
      <c r="K74" s="83"/>
      <c r="L74" s="83"/>
      <c r="M74" s="83"/>
      <c r="AW74" s="83"/>
      <c r="AX74" s="83"/>
      <c r="AY74" s="83"/>
      <c r="AZ74" s="83"/>
      <c r="BA74" s="83"/>
      <c r="BB74" s="83"/>
      <c r="BC74" s="83"/>
      <c r="BD74" s="83"/>
      <c r="BE74" s="83"/>
    </row>
    <row r="75" spans="1:57" s="2" customFormat="1" x14ac:dyDescent="0.3">
      <c r="A75" s="13"/>
      <c r="B75" s="13"/>
      <c r="C75" s="13"/>
      <c r="G75" s="83"/>
      <c r="H75" s="83"/>
      <c r="I75" s="83"/>
      <c r="J75" s="83"/>
      <c r="K75" s="83"/>
      <c r="L75" s="83"/>
      <c r="M75" s="83"/>
      <c r="AW75" s="83"/>
      <c r="AX75" s="83"/>
      <c r="AY75" s="83"/>
      <c r="AZ75" s="83"/>
      <c r="BA75" s="83"/>
      <c r="BB75" s="83"/>
      <c r="BC75" s="83"/>
      <c r="BD75" s="83"/>
      <c r="BE75" s="83"/>
    </row>
    <row r="76" spans="1:57" s="2" customFormat="1" x14ac:dyDescent="0.3">
      <c r="A76" s="13"/>
      <c r="B76" s="13"/>
      <c r="C76" s="13"/>
      <c r="G76" s="83"/>
      <c r="H76" s="83"/>
      <c r="I76" s="83"/>
      <c r="J76" s="83"/>
      <c r="K76" s="83"/>
      <c r="L76" s="83"/>
      <c r="M76" s="83"/>
      <c r="AW76" s="83"/>
      <c r="AX76" s="83"/>
      <c r="AY76" s="83"/>
      <c r="AZ76" s="83"/>
      <c r="BA76" s="83"/>
      <c r="BB76" s="83"/>
      <c r="BC76" s="83"/>
      <c r="BD76" s="83"/>
      <c r="BE76" s="83"/>
    </row>
    <row r="77" spans="1:57" s="2" customFormat="1" x14ac:dyDescent="0.3">
      <c r="A77" s="13"/>
      <c r="B77" s="13"/>
      <c r="C77" s="13"/>
      <c r="G77" s="83"/>
      <c r="H77" s="83"/>
      <c r="I77" s="83"/>
      <c r="J77" s="83"/>
      <c r="K77" s="83"/>
      <c r="L77" s="83"/>
      <c r="M77" s="83"/>
      <c r="AW77" s="83"/>
      <c r="AX77" s="83"/>
      <c r="AY77" s="83"/>
      <c r="AZ77" s="83"/>
      <c r="BA77" s="83"/>
      <c r="BB77" s="83"/>
      <c r="BC77" s="83"/>
      <c r="BD77" s="83"/>
      <c r="BE77" s="83"/>
    </row>
    <row r="78" spans="1:57" s="2" customFormat="1" x14ac:dyDescent="0.3">
      <c r="A78" s="13"/>
      <c r="B78" s="13"/>
      <c r="C78" s="13"/>
      <c r="G78" s="83"/>
      <c r="H78" s="83"/>
      <c r="I78" s="83"/>
      <c r="J78" s="83"/>
      <c r="K78" s="83"/>
      <c r="L78" s="83"/>
      <c r="M78" s="83"/>
      <c r="AW78" s="83"/>
      <c r="AX78" s="83"/>
      <c r="AY78" s="83"/>
      <c r="AZ78" s="83"/>
      <c r="BA78" s="83"/>
      <c r="BB78" s="83"/>
      <c r="BC78" s="83"/>
      <c r="BD78" s="83"/>
      <c r="BE78" s="83"/>
    </row>
    <row r="79" spans="1:57" s="2" customFormat="1" x14ac:dyDescent="0.3">
      <c r="A79" s="13"/>
      <c r="B79" s="13"/>
      <c r="C79" s="13"/>
      <c r="G79" s="83"/>
      <c r="H79" s="83"/>
      <c r="I79" s="83"/>
      <c r="J79" s="83"/>
      <c r="K79" s="83"/>
      <c r="L79" s="83"/>
      <c r="M79" s="83"/>
      <c r="AW79" s="83"/>
      <c r="AX79" s="83"/>
      <c r="AY79" s="83"/>
      <c r="AZ79" s="83"/>
      <c r="BA79" s="83"/>
      <c r="BB79" s="83"/>
      <c r="BC79" s="83"/>
      <c r="BD79" s="83"/>
      <c r="BE79" s="83"/>
    </row>
    <row r="80" spans="1:57" s="2" customFormat="1" x14ac:dyDescent="0.3">
      <c r="A80" s="13"/>
      <c r="B80" s="13"/>
      <c r="C80" s="13"/>
      <c r="G80" s="83"/>
      <c r="H80" s="83"/>
      <c r="I80" s="83"/>
      <c r="J80" s="83"/>
      <c r="K80" s="83"/>
      <c r="L80" s="83"/>
      <c r="M80" s="83"/>
      <c r="AW80" s="83"/>
      <c r="AX80" s="83"/>
      <c r="AY80" s="83"/>
      <c r="AZ80" s="83"/>
      <c r="BA80" s="83"/>
      <c r="BB80" s="83"/>
      <c r="BC80" s="83"/>
      <c r="BD80" s="83"/>
      <c r="BE80" s="83"/>
    </row>
    <row r="81" spans="6:48" x14ac:dyDescent="0.3">
      <c r="F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6:48" x14ac:dyDescent="0.3">
      <c r="F82" s="2"/>
      <c r="J82" s="84"/>
      <c r="K82" s="84"/>
      <c r="L82" s="84"/>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6:48" x14ac:dyDescent="0.3">
      <c r="F83" s="2"/>
      <c r="G83" s="84"/>
      <c r="H83" s="84"/>
      <c r="I83" s="84"/>
      <c r="J83" s="84"/>
      <c r="K83" s="84"/>
      <c r="L83" s="84"/>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6:48" x14ac:dyDescent="0.3">
      <c r="F84" s="2"/>
      <c r="G84" s="84"/>
      <c r="H84" s="84"/>
      <c r="I84" s="84"/>
      <c r="J84" s="84"/>
      <c r="K84" s="84"/>
      <c r="L84" s="84"/>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6:48" x14ac:dyDescent="0.3">
      <c r="F85" s="2"/>
      <c r="G85" s="84"/>
      <c r="H85" s="84"/>
      <c r="I85" s="84"/>
      <c r="J85" s="84"/>
      <c r="K85" s="84"/>
      <c r="L85" s="84"/>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6:48" x14ac:dyDescent="0.3">
      <c r="F86" s="2"/>
      <c r="G86" s="84"/>
      <c r="H86" s="84"/>
      <c r="I86" s="84"/>
      <c r="J86" s="84"/>
      <c r="K86" s="84"/>
      <c r="L86" s="84"/>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6:48" x14ac:dyDescent="0.3">
      <c r="F87" s="103"/>
      <c r="G87" s="84"/>
      <c r="H87" s="84"/>
      <c r="I87" s="84"/>
      <c r="J87" s="84"/>
      <c r="K87" s="84"/>
      <c r="L87" s="84"/>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6:48" x14ac:dyDescent="0.3">
      <c r="F88" s="103"/>
      <c r="G88" s="84"/>
      <c r="H88" s="84"/>
      <c r="I88" s="84"/>
      <c r="J88" s="84"/>
      <c r="K88" s="84"/>
      <c r="L88" s="84"/>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6:48" x14ac:dyDescent="0.3">
      <c r="F89" s="103"/>
      <c r="G89" s="84"/>
      <c r="H89" s="84"/>
      <c r="I89" s="84"/>
      <c r="J89" s="84"/>
      <c r="K89" s="84"/>
      <c r="L89" s="84"/>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6:48" x14ac:dyDescent="0.3">
      <c r="F90" s="103"/>
      <c r="G90" s="84"/>
      <c r="H90" s="84"/>
      <c r="I90" s="84"/>
      <c r="J90" s="84"/>
      <c r="K90" s="84"/>
      <c r="L90" s="84"/>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6:48" x14ac:dyDescent="0.3">
      <c r="F91" s="104"/>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6:48" x14ac:dyDescent="0.3">
      <c r="F92" s="104"/>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6:48" x14ac:dyDescent="0.3">
      <c r="F93" s="104"/>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6:48" x14ac:dyDescent="0.3">
      <c r="F94" s="104"/>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6:48" ht="16.5" customHeight="1" x14ac:dyDescent="0.3">
      <c r="F95" s="495"/>
      <c r="G95" s="495"/>
      <c r="H95" s="495"/>
      <c r="I95" s="495"/>
      <c r="J95" s="495"/>
      <c r="K95" s="495"/>
      <c r="L95" s="94"/>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6:48" x14ac:dyDescent="0.3">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6:48" ht="16.5" customHeight="1" x14ac:dyDescent="0.3">
      <c r="F97" s="498"/>
      <c r="G97" s="498"/>
      <c r="H97" s="498"/>
      <c r="I97" s="498"/>
      <c r="K97" s="95"/>
      <c r="L97" s="95"/>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6:48" x14ac:dyDescent="0.3">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6:48" x14ac:dyDescent="0.3">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6:48" x14ac:dyDescent="0.3">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6:48" x14ac:dyDescent="0.3">
      <c r="F101" s="84"/>
      <c r="G101" s="84"/>
      <c r="H101" s="84"/>
      <c r="I101" s="84"/>
      <c r="J101" s="84"/>
      <c r="K101" s="84"/>
      <c r="L101" s="84"/>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6:48" x14ac:dyDescent="0.3">
      <c r="F102" s="84"/>
      <c r="G102" s="84"/>
      <c r="H102" s="84"/>
      <c r="I102" s="84"/>
      <c r="J102" s="84"/>
      <c r="K102" s="84"/>
      <c r="L102" s="84"/>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6:48" x14ac:dyDescent="0.3">
      <c r="F103" s="84"/>
      <c r="G103" s="84"/>
      <c r="H103" s="84"/>
      <c r="I103" s="84"/>
      <c r="J103" s="84"/>
      <c r="K103" s="84"/>
      <c r="L103" s="84"/>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6:48" x14ac:dyDescent="0.3">
      <c r="F104" s="84"/>
      <c r="G104" s="84"/>
      <c r="H104" s="84"/>
      <c r="I104" s="84"/>
      <c r="J104" s="84"/>
      <c r="K104" s="84"/>
      <c r="L104" s="84"/>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6:48" x14ac:dyDescent="0.3">
      <c r="F105" s="84"/>
      <c r="G105" s="84"/>
      <c r="H105" s="84"/>
      <c r="I105" s="84"/>
      <c r="J105" s="84"/>
      <c r="K105" s="84"/>
      <c r="L105" s="84"/>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6:48" x14ac:dyDescent="0.3">
      <c r="F106" s="84"/>
      <c r="G106" s="84"/>
      <c r="H106" s="84"/>
      <c r="I106" s="84"/>
      <c r="J106" s="84"/>
      <c r="K106" s="84"/>
      <c r="L106" s="84"/>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6:48" x14ac:dyDescent="0.3">
      <c r="F107" s="84"/>
      <c r="G107" s="84"/>
      <c r="H107" s="84"/>
      <c r="I107" s="84"/>
      <c r="J107" s="84"/>
      <c r="K107" s="84"/>
      <c r="L107" s="84"/>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6:48" x14ac:dyDescent="0.3">
      <c r="F108" s="84"/>
      <c r="G108" s="84"/>
      <c r="H108" s="84"/>
      <c r="I108" s="84"/>
      <c r="J108" s="84"/>
      <c r="K108" s="84"/>
      <c r="L108" s="84"/>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6:48" x14ac:dyDescent="0.3">
      <c r="F109" s="84"/>
      <c r="G109" s="84"/>
      <c r="H109" s="84"/>
      <c r="I109" s="84"/>
      <c r="J109" s="84"/>
      <c r="K109" s="84"/>
      <c r="L109" s="84"/>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6:48" x14ac:dyDescent="0.3">
      <c r="F110" s="84"/>
      <c r="G110" s="84"/>
      <c r="H110" s="84"/>
      <c r="I110" s="84"/>
      <c r="J110" s="84"/>
      <c r="K110" s="84"/>
      <c r="L110" s="84"/>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6:48" x14ac:dyDescent="0.3">
      <c r="F111" s="84"/>
      <c r="G111" s="84"/>
      <c r="H111" s="84"/>
      <c r="I111" s="84"/>
      <c r="J111" s="84"/>
      <c r="K111" s="84"/>
      <c r="L111" s="84"/>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6:48" x14ac:dyDescent="0.3">
      <c r="F112" s="84"/>
      <c r="G112" s="84"/>
      <c r="H112" s="84"/>
      <c r="I112" s="84"/>
      <c r="J112" s="84"/>
      <c r="K112" s="84"/>
      <c r="L112" s="84"/>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84"/>
      <c r="G113" s="84"/>
      <c r="H113" s="84"/>
      <c r="I113" s="84"/>
      <c r="J113" s="84"/>
      <c r="K113" s="84"/>
      <c r="L113" s="84"/>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84"/>
      <c r="G114" s="84"/>
      <c r="H114" s="84"/>
      <c r="I114" s="84"/>
      <c r="J114" s="84"/>
      <c r="K114" s="84"/>
      <c r="L114" s="84"/>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84"/>
      <c r="G115" s="84"/>
      <c r="H115" s="84"/>
      <c r="I115" s="84"/>
      <c r="J115" s="84"/>
      <c r="K115" s="84"/>
      <c r="L115" s="84"/>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84"/>
      <c r="G116" s="84"/>
      <c r="H116" s="84"/>
      <c r="I116" s="84"/>
      <c r="J116" s="84"/>
      <c r="K116" s="84"/>
      <c r="L116" s="84"/>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84"/>
      <c r="G117" s="84"/>
      <c r="H117" s="84"/>
      <c r="I117" s="84"/>
      <c r="J117" s="84"/>
      <c r="K117" s="84"/>
      <c r="L117" s="84"/>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84"/>
      <c r="G118" s="84"/>
      <c r="H118" s="84"/>
      <c r="I118" s="84"/>
      <c r="J118" s="84"/>
      <c r="K118" s="84"/>
      <c r="L118" s="84"/>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84"/>
      <c r="G119" s="84"/>
      <c r="H119" s="84"/>
      <c r="I119" s="84"/>
      <c r="J119" s="84"/>
      <c r="K119" s="84"/>
      <c r="L119" s="84"/>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84"/>
      <c r="G120" s="84"/>
      <c r="H120" s="84"/>
      <c r="I120" s="84"/>
      <c r="J120" s="84"/>
      <c r="K120" s="84"/>
      <c r="L120" s="84"/>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84"/>
      <c r="G121" s="84"/>
      <c r="H121" s="84"/>
      <c r="I121" s="84"/>
      <c r="J121" s="84"/>
      <c r="K121" s="84"/>
      <c r="L121" s="84"/>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F122" s="84"/>
      <c r="G122" s="84"/>
      <c r="H122" s="84"/>
      <c r="I122" s="84"/>
      <c r="J122" s="84"/>
      <c r="K122" s="84"/>
      <c r="L122" s="84"/>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F123" s="84"/>
      <c r="G123" s="84"/>
      <c r="H123" s="84"/>
      <c r="I123" s="84"/>
      <c r="J123" s="84"/>
      <c r="K123" s="84"/>
      <c r="L123" s="84"/>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DW135" s="2"/>
      <c r="DX135" s="2"/>
      <c r="DY135" s="2"/>
      <c r="DZ135" s="2"/>
      <c r="EA135" s="2"/>
      <c r="EB135" s="2"/>
      <c r="EC135" s="2"/>
      <c r="ED135" s="2"/>
      <c r="EE135" s="2"/>
      <c r="EF135" s="2"/>
      <c r="EG135" s="2"/>
      <c r="EH135" s="2"/>
      <c r="EI135" s="2"/>
      <c r="EJ135" s="2"/>
      <c r="EK135" s="2"/>
      <c r="EL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84"/>
      <c r="DX146" s="84"/>
      <c r="DY146" s="84"/>
      <c r="DZ146" s="84"/>
      <c r="EA146" s="84"/>
      <c r="EB146" s="84"/>
      <c r="EC146" s="84"/>
      <c r="ED146" s="84"/>
      <c r="EE146" s="84"/>
      <c r="EF146" s="84"/>
      <c r="EG146" s="84"/>
      <c r="EH146" s="84"/>
      <c r="EI146" s="84"/>
      <c r="EJ146" s="84"/>
      <c r="EK146" s="84"/>
      <c r="EL146" s="84"/>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84"/>
      <c r="DX147" s="84"/>
      <c r="DY147" s="84"/>
      <c r="DZ147" s="84"/>
      <c r="EA147" s="84"/>
      <c r="EB147" s="84"/>
      <c r="EC147" s="84"/>
      <c r="ED147" s="84"/>
      <c r="EE147" s="84"/>
      <c r="EF147" s="84"/>
      <c r="EG147" s="84"/>
      <c r="EH147" s="84"/>
      <c r="EI147" s="84"/>
      <c r="EJ147" s="84"/>
      <c r="EK147" s="84"/>
      <c r="EL147" s="84"/>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84"/>
      <c r="DX148" s="84"/>
      <c r="DY148" s="84"/>
      <c r="DZ148" s="84"/>
      <c r="EA148" s="84"/>
      <c r="EB148" s="84"/>
      <c r="EC148" s="84"/>
      <c r="ED148" s="84"/>
      <c r="EE148" s="84"/>
      <c r="EF148" s="84"/>
      <c r="EG148" s="84"/>
      <c r="EH148" s="84"/>
      <c r="EI148" s="84"/>
      <c r="EJ148" s="84"/>
      <c r="EK148" s="84"/>
      <c r="EL148" s="84"/>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84"/>
      <c r="DX149" s="84"/>
      <c r="DY149" s="84"/>
      <c r="DZ149" s="84"/>
      <c r="EA149" s="84"/>
      <c r="EB149" s="84"/>
      <c r="EC149" s="84"/>
      <c r="ED149" s="84"/>
      <c r="EE149" s="84"/>
      <c r="EF149" s="84"/>
      <c r="EG149" s="84"/>
      <c r="EH149" s="84"/>
      <c r="EI149" s="84"/>
      <c r="EJ149" s="84"/>
      <c r="EK149" s="84"/>
      <c r="EL149" s="84"/>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DW150" s="84"/>
      <c r="DX150" s="84"/>
      <c r="DY150" s="84"/>
      <c r="DZ150" s="84"/>
      <c r="EA150" s="84"/>
      <c r="EB150" s="84"/>
      <c r="EC150" s="84"/>
      <c r="ED150" s="84"/>
      <c r="EE150" s="84"/>
      <c r="EF150" s="84"/>
      <c r="EG150" s="84"/>
      <c r="EH150" s="84"/>
      <c r="EI150" s="84"/>
      <c r="EJ150" s="84"/>
      <c r="EK150" s="84"/>
      <c r="EL150" s="84"/>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DW151" s="84"/>
      <c r="DX151" s="84"/>
      <c r="DY151" s="84"/>
      <c r="DZ151" s="84"/>
      <c r="EA151" s="84"/>
      <c r="EB151" s="84"/>
      <c r="EC151" s="84"/>
      <c r="ED151" s="84"/>
      <c r="EE151" s="84"/>
      <c r="EF151" s="84"/>
      <c r="EG151" s="84"/>
      <c r="EH151" s="84"/>
      <c r="EI151" s="84"/>
      <c r="EJ151" s="84"/>
      <c r="EK151" s="84"/>
      <c r="EL151" s="84"/>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5:48" x14ac:dyDescent="0.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5:48" x14ac:dyDescent="0.3">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94" spans="6:10" x14ac:dyDescent="0.3">
      <c r="F294" s="96"/>
      <c r="G294" s="96"/>
      <c r="H294" s="96"/>
      <c r="I294" s="96"/>
      <c r="J294" s="96"/>
    </row>
    <row r="295" spans="6:10" x14ac:dyDescent="0.3">
      <c r="F295" s="96"/>
      <c r="G295" s="96"/>
      <c r="H295" s="96"/>
      <c r="I295" s="96"/>
      <c r="J295" s="96"/>
    </row>
  </sheetData>
  <sheetProtection sheet="1" objects="1" scenarios="1"/>
  <mergeCells count="28">
    <mergeCell ref="K18:K19"/>
    <mergeCell ref="F97:I97"/>
    <mergeCell ref="D45:K45"/>
    <mergeCell ref="E46:K46"/>
    <mergeCell ref="F48:F49"/>
    <mergeCell ref="G48:G49"/>
    <mergeCell ref="H48:H49"/>
    <mergeCell ref="I48:I49"/>
    <mergeCell ref="J48:J49"/>
    <mergeCell ref="K48:K49"/>
    <mergeCell ref="E47:L47"/>
    <mergeCell ref="E48:E49"/>
    <mergeCell ref="C1:M1"/>
    <mergeCell ref="D3:L4"/>
    <mergeCell ref="D8:K9"/>
    <mergeCell ref="D10:K15"/>
    <mergeCell ref="F95:K95"/>
    <mergeCell ref="L48:L49"/>
    <mergeCell ref="D44:L44"/>
    <mergeCell ref="D6:L6"/>
    <mergeCell ref="D16:L16"/>
    <mergeCell ref="E17:K17"/>
    <mergeCell ref="E18:E19"/>
    <mergeCell ref="F18:F19"/>
    <mergeCell ref="G18:G19"/>
    <mergeCell ref="H18:H19"/>
    <mergeCell ref="I18:I19"/>
    <mergeCell ref="J18:J19"/>
  </mergeCells>
  <conditionalFormatting sqref="J71">
    <cfRule type="expression" dxfId="32" priority="3">
      <formula>ISNUMBER(J71)</formula>
    </cfRule>
  </conditionalFormatting>
  <dataValidations count="2">
    <dataValidation operator="equal" allowBlank="1" showInputMessage="1" showErrorMessage="1" sqref="F51:F70">
      <formula1>0</formula1>
      <formula2>0</formula2>
    </dataValidation>
    <dataValidation type="decimal" operator="greaterThan" allowBlank="1" showInputMessage="1" showErrorMessage="1" sqref="H21:H42 I51:I70">
      <formula1>0</formula1>
    </dataValidation>
  </dataValidations>
  <hyperlinks>
    <hyperlink ref="A3" location="'0_Dades generals organització'!A1" display="0. Dades de la organització"/>
    <hyperlink ref="A5" location="'2_Fluorats'!A1" display="2. PC Abast 1: Fugues fluorats"/>
    <hyperlink ref="A4" location="'1_Combustibles fòssils'!A1" display="1. PC Abast 1: Comb. fòssils"/>
    <hyperlink ref="A6" location="'3_Emissions processos'!A1" display="3. PC Abast 1: Emissions procés"/>
    <hyperlink ref="A8" location="'4.2_Electricitat Espanya'!A1" display="4.2 PC 2: Electricitat Espanya"/>
    <hyperlink ref="A9" location="'5_Informació addicional'!A1" display="5. Inf. addicional: renovables"/>
    <hyperlink ref="A10" location="'6.1_Resultats Illes Balears'!A1" display="6.1 Informe final: Resultats I. Balears"/>
    <hyperlink ref="A12" location="'6.2_Resultats Espanya'!A1" display="6.2 Informe final: Resultats Espanya"/>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F21:F42 G51:G70</xm:sqref>
        </x14:dataValidation>
        <x14:dataValidation type="list" operator="equal" allowBlank="1" showInputMessage="1" showErrorMessage="1">
          <x14:formula1>
            <xm:f>Dades!$AC$636:$AC$638</xm:f>
          </x14:formula1>
          <x14:formula2>
            <xm:f>0</xm:f>
          </x14:formula2>
          <xm:sqref>H51:H70 G21:G42</xm:sqref>
        </x14:dataValidation>
        <x14:dataValidation type="list" showInputMessage="1" showErrorMessage="1">
          <x14:formula1>
            <xm:f>Dades!$E$661:$E$911</xm:f>
          </x14:formula1>
          <xm:sqref>E21:E42 E51:E70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4"/>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5703125" style="13" customWidth="1"/>
    <col min="2" max="2" width="1.85546875" style="13" customWidth="1"/>
    <col min="3" max="3" width="1.5703125" style="13" customWidth="1"/>
    <col min="4" max="4" width="3.5703125" style="83" customWidth="1"/>
    <col min="5" max="5" width="26.28515625" style="83" customWidth="1"/>
    <col min="6" max="6" width="51.42578125" style="83" customWidth="1"/>
    <col min="7" max="7" width="25" style="83" customWidth="1"/>
    <col min="8" max="8" width="16.28515625" style="83" customWidth="1"/>
    <col min="9" max="9" width="16.5703125" style="83" customWidth="1"/>
    <col min="10" max="10" width="17.7109375" style="83" customWidth="1"/>
    <col min="11" max="11" width="18.28515625" style="83" customWidth="1"/>
    <col min="12" max="12" width="2.7109375" style="83" customWidth="1"/>
    <col min="13" max="13" width="2" style="83" customWidth="1"/>
    <col min="14" max="14" width="11.42578125" style="83"/>
    <col min="15" max="15" width="6.7109375" style="83" customWidth="1"/>
    <col min="16" max="16" width="7.140625" style="83" customWidth="1"/>
    <col min="17" max="20" width="10.7109375" style="83" customWidth="1"/>
    <col min="21" max="1025" width="11.42578125" style="83"/>
  </cols>
  <sheetData>
    <row r="1" spans="1:17" s="26" customFormat="1" ht="40.700000000000003" customHeight="1" x14ac:dyDescent="0.25">
      <c r="A1" s="13"/>
      <c r="B1" s="14"/>
      <c r="C1" s="444" t="s">
        <v>936</v>
      </c>
      <c r="D1" s="444"/>
      <c r="E1" s="444"/>
      <c r="F1" s="444"/>
      <c r="G1" s="444"/>
      <c r="H1" s="444"/>
      <c r="I1" s="444"/>
      <c r="J1" s="444"/>
      <c r="K1" s="444"/>
      <c r="L1" s="444"/>
      <c r="M1" s="444"/>
      <c r="N1" s="27"/>
      <c r="O1" s="27"/>
      <c r="P1" s="27"/>
      <c r="Q1" s="27"/>
    </row>
    <row r="2" spans="1:17" s="26" customFormat="1" ht="40.700000000000003" customHeight="1" x14ac:dyDescent="0.25">
      <c r="A2" s="13"/>
      <c r="B2" s="14"/>
      <c r="C2" s="13"/>
      <c r="G2" s="27"/>
      <c r="H2" s="27"/>
      <c r="I2" s="27"/>
      <c r="J2" s="27"/>
      <c r="K2" s="27"/>
      <c r="L2" s="27"/>
      <c r="M2" s="27"/>
      <c r="N2" s="27"/>
      <c r="O2" s="27"/>
      <c r="P2" s="27"/>
      <c r="Q2" s="27"/>
    </row>
    <row r="3" spans="1:17" s="26" customFormat="1" ht="16.5" customHeight="1" x14ac:dyDescent="0.25">
      <c r="A3" s="17" t="s">
        <v>827</v>
      </c>
      <c r="B3" s="16"/>
      <c r="C3" s="13"/>
      <c r="D3" s="494" t="s">
        <v>920</v>
      </c>
      <c r="E3" s="494"/>
      <c r="F3" s="494"/>
      <c r="G3" s="494"/>
      <c r="H3" s="494"/>
      <c r="I3" s="494"/>
      <c r="J3" s="494"/>
      <c r="K3" s="494"/>
      <c r="L3" s="494"/>
      <c r="N3" s="27"/>
      <c r="O3" s="27"/>
      <c r="P3" s="27"/>
      <c r="Q3" s="27"/>
    </row>
    <row r="4" spans="1:17" s="26" customFormat="1" ht="16.5" customHeight="1" x14ac:dyDescent="0.25">
      <c r="A4" s="17" t="s">
        <v>828</v>
      </c>
      <c r="B4" s="16"/>
      <c r="C4" s="13"/>
      <c r="D4" s="494"/>
      <c r="E4" s="494"/>
      <c r="F4" s="494"/>
      <c r="G4" s="494"/>
      <c r="H4" s="494"/>
      <c r="I4" s="494"/>
      <c r="J4" s="494"/>
      <c r="K4" s="494"/>
      <c r="L4" s="494"/>
      <c r="N4" s="27"/>
      <c r="O4" s="27"/>
      <c r="P4" s="27"/>
      <c r="Q4" s="27"/>
    </row>
    <row r="5" spans="1:17" s="26" customFormat="1" ht="16.5" customHeight="1" x14ac:dyDescent="0.25">
      <c r="A5" s="17" t="s">
        <v>829</v>
      </c>
      <c r="B5" s="16"/>
      <c r="C5" s="13"/>
      <c r="D5" s="470" t="s">
        <v>918</v>
      </c>
      <c r="E5" s="470"/>
      <c r="F5" s="470"/>
      <c r="G5" s="470"/>
      <c r="H5" s="470"/>
      <c r="I5" s="470"/>
      <c r="J5" s="470"/>
      <c r="K5" s="470"/>
      <c r="L5" s="46"/>
      <c r="M5" s="46"/>
      <c r="N5" s="27"/>
      <c r="O5" s="27"/>
      <c r="P5" s="27"/>
      <c r="Q5" s="27"/>
    </row>
    <row r="6" spans="1:17" s="41" customFormat="1" ht="16.5" customHeight="1" x14ac:dyDescent="0.25">
      <c r="A6" s="17" t="s">
        <v>830</v>
      </c>
      <c r="B6" s="16"/>
      <c r="C6" s="13"/>
      <c r="D6" s="87"/>
    </row>
    <row r="7" spans="1:17" s="41" customFormat="1" ht="16.5" customHeight="1" x14ac:dyDescent="0.25">
      <c r="A7" s="17" t="s">
        <v>831</v>
      </c>
      <c r="B7" s="16"/>
      <c r="C7" s="13"/>
      <c r="D7" s="487" t="s">
        <v>921</v>
      </c>
      <c r="E7" s="487"/>
      <c r="F7" s="487"/>
      <c r="G7" s="487"/>
      <c r="H7" s="487"/>
      <c r="I7" s="487"/>
      <c r="J7" s="487"/>
      <c r="K7" s="487"/>
      <c r="L7" s="88"/>
    </row>
    <row r="8" spans="1:17" s="41" customFormat="1" ht="16.5" customHeight="1" x14ac:dyDescent="0.25">
      <c r="A8" s="15" t="s">
        <v>832</v>
      </c>
      <c r="B8" s="16"/>
      <c r="C8" s="13"/>
      <c r="D8" s="487"/>
      <c r="E8" s="487"/>
      <c r="F8" s="487"/>
      <c r="G8" s="487"/>
      <c r="H8" s="487"/>
      <c r="I8" s="487"/>
      <c r="J8" s="487"/>
      <c r="K8" s="487"/>
      <c r="L8" s="88"/>
      <c r="M8" s="46"/>
    </row>
    <row r="9" spans="1:17" s="41" customFormat="1" ht="16.5" customHeight="1" x14ac:dyDescent="0.25">
      <c r="A9" s="17" t="s">
        <v>833</v>
      </c>
      <c r="B9" s="13"/>
      <c r="C9" s="13"/>
      <c r="D9" s="445" t="s">
        <v>937</v>
      </c>
      <c r="E9" s="445"/>
      <c r="F9" s="445"/>
      <c r="G9" s="445"/>
      <c r="H9" s="445"/>
      <c r="I9" s="445"/>
      <c r="J9" s="445"/>
      <c r="K9" s="445"/>
      <c r="L9" s="88"/>
      <c r="M9" s="46"/>
    </row>
    <row r="10" spans="1:17" s="41" customFormat="1" ht="6.75" hidden="1" customHeight="1" x14ac:dyDescent="0.25">
      <c r="A10" s="17"/>
      <c r="B10" s="13"/>
      <c r="C10" s="13"/>
      <c r="D10" s="445"/>
      <c r="E10" s="445"/>
      <c r="F10" s="445"/>
      <c r="G10" s="445"/>
      <c r="H10" s="445"/>
      <c r="I10" s="445"/>
      <c r="J10" s="445"/>
      <c r="K10" s="445"/>
      <c r="L10" s="34"/>
      <c r="M10" s="69"/>
    </row>
    <row r="11" spans="1:17" s="2" customFormat="1" ht="16.5" customHeight="1" x14ac:dyDescent="0.3">
      <c r="A11" s="17" t="s">
        <v>834</v>
      </c>
      <c r="B11" s="13"/>
      <c r="C11" s="13"/>
      <c r="D11" s="445"/>
      <c r="E11" s="445"/>
      <c r="F11" s="445"/>
      <c r="G11" s="445"/>
      <c r="H11" s="445"/>
      <c r="I11" s="445"/>
      <c r="J11" s="445"/>
      <c r="K11" s="445"/>
      <c r="L11" s="88"/>
      <c r="M11" s="46"/>
    </row>
    <row r="12" spans="1:17" s="2" customFormat="1" ht="16.5" customHeight="1" x14ac:dyDescent="0.3">
      <c r="A12" s="17" t="s">
        <v>835</v>
      </c>
      <c r="B12" s="13"/>
      <c r="C12" s="13"/>
      <c r="D12" s="445"/>
      <c r="E12" s="445"/>
      <c r="F12" s="445"/>
      <c r="G12" s="445"/>
      <c r="H12" s="445"/>
      <c r="I12" s="445"/>
      <c r="J12" s="445"/>
      <c r="K12" s="445"/>
      <c r="L12" s="88"/>
      <c r="M12" s="46"/>
    </row>
    <row r="13" spans="1:17" s="2" customFormat="1" ht="16.149999999999999" customHeight="1" x14ac:dyDescent="0.3">
      <c r="A13" s="17"/>
      <c r="B13" s="13"/>
      <c r="C13" s="13"/>
      <c r="D13" s="445"/>
      <c r="E13" s="445"/>
      <c r="F13" s="445"/>
      <c r="G13" s="445"/>
      <c r="H13" s="445"/>
      <c r="I13" s="445"/>
      <c r="J13" s="445"/>
      <c r="K13" s="445"/>
      <c r="L13" s="88"/>
      <c r="M13" s="46"/>
    </row>
    <row r="14" spans="1:17" s="2" customFormat="1" ht="18.75" customHeight="1" x14ac:dyDescent="0.3">
      <c r="A14" s="17"/>
      <c r="B14" s="13"/>
      <c r="C14" s="13"/>
      <c r="D14" s="445"/>
      <c r="E14" s="445"/>
      <c r="F14" s="445"/>
      <c r="G14" s="445"/>
      <c r="H14" s="445"/>
      <c r="I14" s="445"/>
      <c r="J14" s="445"/>
      <c r="K14" s="445"/>
      <c r="L14" s="93"/>
      <c r="M14" s="46"/>
    </row>
    <row r="15" spans="1:17" s="2" customFormat="1" ht="18.75" customHeight="1" x14ac:dyDescent="0.3">
      <c r="A15" s="17"/>
      <c r="B15" s="13"/>
      <c r="C15" s="13"/>
      <c r="D15" s="496" t="str">
        <f>IF(ISNUMBER('0_Dades generals organització'!$G$3),"",IF(OR(ISNUMBER(H20),ISNUMBER(H21),ISNUMBER(H22),ISNUMBER(H23),ISNUMBER(H24),ISNUMBER(H25),ISNUMBER(H26),ISNUMBER(H27),ISNUMBER(H28),ISNUMBER(H29),ISNUMBER(H30),ISNUMBER(H31),ISNUMBER(H32),ISNUMBER(H33),ISNUMBER(H34),ISNUMBER(H35),ISNUMBER(H36),ISNUMBER(H37),ISNUMBER(H40),ISNUMBER(H41)),"Introdueixi l'ANY DE CÀLCUL a la pestanya 0_Dades generals organització i en aquest mateix quadre respongui si disposa o no de GdO i indiqui la COMERCIALITZADORA que té contractada",""))</f>
        <v/>
      </c>
      <c r="E15" s="496"/>
      <c r="F15" s="496"/>
      <c r="G15" s="496"/>
      <c r="H15" s="496"/>
      <c r="I15" s="496"/>
      <c r="J15" s="496"/>
      <c r="K15" s="496"/>
      <c r="L15" s="496"/>
      <c r="M15" s="46"/>
    </row>
    <row r="16" spans="1:17" s="2" customFormat="1" ht="22.5" customHeight="1" x14ac:dyDescent="0.35">
      <c r="A16" s="47"/>
      <c r="B16" s="13"/>
      <c r="C16" s="13"/>
      <c r="D16" s="97"/>
      <c r="E16" s="497" t="s">
        <v>922</v>
      </c>
      <c r="F16" s="497"/>
      <c r="G16" s="497"/>
      <c r="H16" s="497"/>
      <c r="I16" s="497"/>
      <c r="J16" s="497"/>
      <c r="K16" s="497"/>
      <c r="Q16" s="98"/>
    </row>
    <row r="17" spans="1:17" s="2" customFormat="1" ht="24.75" customHeight="1" x14ac:dyDescent="0.35">
      <c r="A17" s="47"/>
      <c r="B17" s="13"/>
      <c r="C17" s="13"/>
      <c r="D17" s="99"/>
      <c r="E17" s="464" t="s">
        <v>849</v>
      </c>
      <c r="F17" s="464" t="s">
        <v>931</v>
      </c>
      <c r="G17" s="464" t="s">
        <v>938</v>
      </c>
      <c r="H17" s="464" t="s">
        <v>924</v>
      </c>
      <c r="I17" s="464" t="s">
        <v>939</v>
      </c>
      <c r="J17" s="464" t="s">
        <v>926</v>
      </c>
      <c r="K17" s="464" t="s">
        <v>927</v>
      </c>
      <c r="Q17" s="98"/>
    </row>
    <row r="18" spans="1:17" s="2" customFormat="1" ht="12" customHeight="1" x14ac:dyDescent="0.3">
      <c r="A18" s="47"/>
      <c r="B18" s="13"/>
      <c r="C18" s="13"/>
      <c r="E18" s="464"/>
      <c r="F18" s="464"/>
      <c r="G18" s="464"/>
      <c r="H18" s="464"/>
      <c r="I18" s="464"/>
      <c r="J18" s="464"/>
      <c r="K18" s="464"/>
    </row>
    <row r="19" spans="1:17" s="2" customFormat="1" ht="28.5" hidden="1" customHeight="1" x14ac:dyDescent="0.3">
      <c r="A19" s="47"/>
      <c r="B19" s="13"/>
      <c r="C19" s="13"/>
      <c r="E19" s="52" t="s">
        <v>849</v>
      </c>
      <c r="F19" s="53"/>
      <c r="G19" s="53"/>
      <c r="H19" s="54"/>
      <c r="I19" s="54"/>
      <c r="J19" s="100" t="s">
        <v>19</v>
      </c>
      <c r="K19" s="74"/>
    </row>
    <row r="20" spans="1:17" s="2" customFormat="1" x14ac:dyDescent="0.3">
      <c r="A20" s="47"/>
      <c r="B20" s="13"/>
      <c r="C20" s="13"/>
      <c r="E20" s="415"/>
      <c r="F20" s="425"/>
      <c r="G20" s="426"/>
      <c r="H20" s="429"/>
      <c r="I20" s="90" t="str">
        <f>IF(OR(F20="",H20=""),"",IF(G20=Dades!$C$248,Dades!$D$248,IF(G20=Dades!$C$249,Dades!$D$249,VLOOKUP(F20,Dades!$AE$223:$AF$467,2,0))))</f>
        <v/>
      </c>
      <c r="J20" s="91" t="str">
        <f>IF(I20="","",H20*I20)</f>
        <v/>
      </c>
      <c r="K20" s="58">
        <f>SUM(J20:J41)</f>
        <v>0</v>
      </c>
    </row>
    <row r="21" spans="1:17" s="2" customFormat="1" ht="15" customHeight="1" x14ac:dyDescent="0.3">
      <c r="A21" s="17"/>
      <c r="B21" s="13"/>
      <c r="C21" s="13"/>
      <c r="E21" s="415"/>
      <c r="F21" s="425"/>
      <c r="G21" s="426"/>
      <c r="H21" s="429"/>
      <c r="I21" s="90" t="str">
        <f>IF(OR(F21="",H21=""),"",IF(G21=Dades!$C$248,Dades!$D$248,IF(G21=Dades!$C$249,Dades!$D$249,VLOOKUP(F21,Dades!$AE$223:$AF$467,2,0))))</f>
        <v/>
      </c>
      <c r="J21" s="91" t="str">
        <f t="shared" ref="J21:J41" si="0">IF(I21="","",H21*I21)</f>
        <v/>
      </c>
      <c r="K21" s="41"/>
      <c r="L21" s="41"/>
    </row>
    <row r="22" spans="1:17" s="2" customFormat="1" ht="15" customHeight="1" x14ac:dyDescent="0.3">
      <c r="A22" s="17"/>
      <c r="B22" s="13"/>
      <c r="C22" s="13"/>
      <c r="E22" s="415"/>
      <c r="F22" s="425"/>
      <c r="G22" s="426"/>
      <c r="H22" s="429"/>
      <c r="I22" s="90" t="str">
        <f>IF(OR(F22="",H22=""),"",IF(G22=Dades!$C$248,Dades!$D$248,IF(G22=Dades!$C$249,Dades!$D$249,VLOOKUP(F22,Dades!$AE$223:$AF$467,2,0))))</f>
        <v/>
      </c>
      <c r="J22" s="91" t="str">
        <f t="shared" si="0"/>
        <v/>
      </c>
      <c r="K22" s="41"/>
      <c r="L22" s="41"/>
    </row>
    <row r="23" spans="1:17" s="2" customFormat="1" ht="15" customHeight="1" x14ac:dyDescent="0.3">
      <c r="A23" s="17"/>
      <c r="B23" s="13"/>
      <c r="C23" s="13"/>
      <c r="E23" s="415"/>
      <c r="F23" s="425"/>
      <c r="G23" s="426"/>
      <c r="H23" s="429"/>
      <c r="I23" s="90" t="str">
        <f>IF(OR(F23="",H23=""),"",IF(G23=Dades!$C$248,Dades!$D$248,IF(G23=Dades!$C$249,Dades!$D$249,VLOOKUP(F23,Dades!$AE$223:$AF$467,2,0))))</f>
        <v/>
      </c>
      <c r="J23" s="91" t="str">
        <f t="shared" si="0"/>
        <v/>
      </c>
      <c r="K23" s="41"/>
      <c r="L23" s="41"/>
    </row>
    <row r="24" spans="1:17" s="2" customFormat="1" ht="15" customHeight="1" x14ac:dyDescent="0.3">
      <c r="A24" s="17"/>
      <c r="B24" s="13"/>
      <c r="C24" s="13"/>
      <c r="E24" s="415"/>
      <c r="F24" s="425"/>
      <c r="G24" s="426"/>
      <c r="H24" s="429"/>
      <c r="I24" s="90" t="str">
        <f>IF(OR(F24="",H24=""),"",IF(G24=Dades!$C$248,Dades!$D$248,IF(G24=Dades!$C$249,Dades!$D$249,VLOOKUP(F24,Dades!$AE$223:$AF$467,2,0))))</f>
        <v/>
      </c>
      <c r="J24" s="91" t="str">
        <f t="shared" si="0"/>
        <v/>
      </c>
      <c r="K24" s="41"/>
      <c r="L24" s="41"/>
    </row>
    <row r="25" spans="1:17" s="2" customFormat="1" ht="15" customHeight="1" x14ac:dyDescent="0.3">
      <c r="A25" s="17"/>
      <c r="B25" s="13"/>
      <c r="C25" s="13"/>
      <c r="E25" s="415"/>
      <c r="F25" s="425"/>
      <c r="G25" s="426"/>
      <c r="H25" s="429"/>
      <c r="I25" s="90" t="str">
        <f>IF(OR(F25="",H25=""),"",IF(G25=Dades!$C$248,Dades!$D$248,IF(G25=Dades!$C$249,Dades!$D$249,VLOOKUP(F25,Dades!$AE$223:$AF$467,2,0))))</f>
        <v/>
      </c>
      <c r="J25" s="91" t="str">
        <f t="shared" si="0"/>
        <v/>
      </c>
      <c r="K25" s="41"/>
      <c r="L25" s="41"/>
    </row>
    <row r="26" spans="1:17" s="2" customFormat="1" ht="15" customHeight="1" x14ac:dyDescent="0.3">
      <c r="A26" s="17"/>
      <c r="B26" s="13"/>
      <c r="C26" s="13"/>
      <c r="E26" s="415"/>
      <c r="F26" s="425"/>
      <c r="G26" s="426"/>
      <c r="H26" s="429"/>
      <c r="I26" s="90" t="str">
        <f>IF(OR(F26="",H26=""),"",IF(G26=Dades!$C$248,Dades!$D$248,IF(G26=Dades!$C$249,Dades!$D$249,VLOOKUP(F26,Dades!$AE$223:$AF$467,2,0))))</f>
        <v/>
      </c>
      <c r="J26" s="91" t="str">
        <f t="shared" si="0"/>
        <v/>
      </c>
      <c r="K26" s="41"/>
      <c r="L26" s="41"/>
    </row>
    <row r="27" spans="1:17" s="2" customFormat="1" ht="15" customHeight="1" x14ac:dyDescent="0.3">
      <c r="A27" s="17"/>
      <c r="B27" s="13"/>
      <c r="C27" s="13"/>
      <c r="E27" s="415"/>
      <c r="F27" s="425"/>
      <c r="G27" s="426"/>
      <c r="H27" s="429"/>
      <c r="I27" s="90" t="str">
        <f>IF(OR(F27="",H27=""),"",IF(G27=Dades!$C$248,Dades!$D$248,IF(G27=Dades!$C$249,Dades!$D$249,VLOOKUP(F27,Dades!$AE$223:$AF$467,2,0))))</f>
        <v/>
      </c>
      <c r="J27" s="91" t="str">
        <f t="shared" si="0"/>
        <v/>
      </c>
      <c r="K27" s="41"/>
      <c r="L27" s="41"/>
    </row>
    <row r="28" spans="1:17" s="2" customFormat="1" ht="15" customHeight="1" x14ac:dyDescent="0.3">
      <c r="A28" s="17"/>
      <c r="B28" s="13"/>
      <c r="C28" s="13"/>
      <c r="E28" s="415"/>
      <c r="F28" s="425"/>
      <c r="G28" s="426"/>
      <c r="H28" s="429"/>
      <c r="I28" s="90" t="str">
        <f>IF(OR(F28="",H28=""),"",IF(G28=Dades!$C$248,Dades!$D$248,IF(G28=Dades!$C$249,Dades!$D$249,VLOOKUP(F28,Dades!$AE$223:$AF$467,2,0))))</f>
        <v/>
      </c>
      <c r="J28" s="91" t="str">
        <f t="shared" si="0"/>
        <v/>
      </c>
      <c r="K28" s="41"/>
      <c r="L28" s="41"/>
    </row>
    <row r="29" spans="1:17" s="2" customFormat="1" ht="15" customHeight="1" x14ac:dyDescent="0.3">
      <c r="A29" s="17"/>
      <c r="B29" s="13"/>
      <c r="C29" s="13"/>
      <c r="E29" s="415"/>
      <c r="F29" s="425"/>
      <c r="G29" s="426"/>
      <c r="H29" s="429"/>
      <c r="I29" s="90" t="str">
        <f>IF(OR(F29="",H29=""),"",IF(G29=Dades!$C$248,Dades!$D$248,IF(G29=Dades!$C$249,Dades!$D$249,VLOOKUP(F29,Dades!$AE$223:$AF$467,2,0))))</f>
        <v/>
      </c>
      <c r="J29" s="91" t="str">
        <f t="shared" si="0"/>
        <v/>
      </c>
      <c r="K29" s="41"/>
      <c r="L29" s="41"/>
    </row>
    <row r="30" spans="1:17" s="2" customFormat="1" ht="15" customHeight="1" x14ac:dyDescent="0.3">
      <c r="A30" s="17"/>
      <c r="B30" s="13"/>
      <c r="C30" s="13"/>
      <c r="E30" s="415"/>
      <c r="F30" s="425"/>
      <c r="G30" s="426"/>
      <c r="H30" s="429"/>
      <c r="I30" s="90" t="str">
        <f>IF(OR(F30="",H30=""),"",IF(G30=Dades!$C$248,Dades!$D$248,IF(G30=Dades!$C$249,Dades!$D$249,VLOOKUP(F30,Dades!$AE$223:$AF$467,2,0))))</f>
        <v/>
      </c>
      <c r="J30" s="91" t="str">
        <f t="shared" si="0"/>
        <v/>
      </c>
      <c r="K30" s="41"/>
      <c r="L30" s="41"/>
    </row>
    <row r="31" spans="1:17" s="2" customFormat="1" ht="15" customHeight="1" x14ac:dyDescent="0.3">
      <c r="A31" s="17"/>
      <c r="B31" s="13"/>
      <c r="C31" s="13"/>
      <c r="E31" s="415"/>
      <c r="F31" s="425"/>
      <c r="G31" s="426"/>
      <c r="H31" s="429"/>
      <c r="I31" s="90" t="str">
        <f>IF(OR(F31="",H31=""),"",IF(G31=Dades!$C$248,Dades!$D$248,IF(G31=Dades!$C$249,Dades!$D$249,VLOOKUP(F31,Dades!$AE$223:$AF$467,2,0))))</f>
        <v/>
      </c>
      <c r="J31" s="91" t="str">
        <f t="shared" si="0"/>
        <v/>
      </c>
      <c r="K31" s="41"/>
      <c r="L31" s="41"/>
    </row>
    <row r="32" spans="1:17" s="2" customFormat="1" ht="15" customHeight="1" x14ac:dyDescent="0.3">
      <c r="A32" s="47"/>
      <c r="B32" s="13"/>
      <c r="C32" s="13"/>
      <c r="E32" s="415"/>
      <c r="F32" s="425"/>
      <c r="G32" s="426"/>
      <c r="H32" s="429"/>
      <c r="I32" s="90" t="str">
        <f>IF(OR(F32="",H32=""),"",IF(G32=Dades!$C$248,Dades!$D$248,IF(G32=Dades!$C$249,Dades!$D$249,VLOOKUP(F32,Dades!$AE$223:$AF$467,2,0))))</f>
        <v/>
      </c>
      <c r="J32" s="91" t="str">
        <f t="shared" si="0"/>
        <v/>
      </c>
      <c r="K32" s="41"/>
      <c r="L32" s="41"/>
    </row>
    <row r="33" spans="1:17" s="2" customFormat="1" ht="15" customHeight="1" x14ac:dyDescent="0.3">
      <c r="A33" s="47"/>
      <c r="B33" s="13"/>
      <c r="C33" s="13"/>
      <c r="E33" s="415"/>
      <c r="F33" s="425"/>
      <c r="G33" s="426"/>
      <c r="H33" s="429"/>
      <c r="I33" s="90" t="str">
        <f>IF(OR(F33="",H33=""),"",IF(G33=Dades!$C$248,Dades!$D$248,IF(G33=Dades!$C$249,Dades!$D$249,VLOOKUP(F33,Dades!$AE$223:$AF$467,2,0))))</f>
        <v/>
      </c>
      <c r="J33" s="91" t="str">
        <f t="shared" si="0"/>
        <v/>
      </c>
      <c r="K33" s="41"/>
      <c r="L33" s="41"/>
    </row>
    <row r="34" spans="1:17" s="2" customFormat="1" ht="15" customHeight="1" x14ac:dyDescent="0.3">
      <c r="A34" s="47"/>
      <c r="B34" s="13"/>
      <c r="C34" s="13"/>
      <c r="E34" s="415"/>
      <c r="F34" s="425"/>
      <c r="G34" s="426"/>
      <c r="H34" s="429"/>
      <c r="I34" s="90" t="str">
        <f>IF(OR(F34="",H34=""),"",IF(G34=Dades!$C$248,Dades!$D$248,IF(G34=Dades!$C$249,Dades!$D$249,VLOOKUP(F34,Dades!$AE$223:$AF$467,2,0))))</f>
        <v/>
      </c>
      <c r="J34" s="91" t="str">
        <f t="shared" si="0"/>
        <v/>
      </c>
      <c r="K34" s="41"/>
      <c r="L34" s="41"/>
    </row>
    <row r="35" spans="1:17" s="2" customFormat="1" ht="15" customHeight="1" x14ac:dyDescent="0.3">
      <c r="A35" s="47"/>
      <c r="B35" s="13"/>
      <c r="C35" s="13"/>
      <c r="E35" s="415"/>
      <c r="F35" s="425"/>
      <c r="G35" s="426"/>
      <c r="H35" s="429"/>
      <c r="I35" s="90" t="str">
        <f>IF(OR(F35="",H35=""),"",IF(G35=Dades!$C$248,Dades!$D$248,IF(G35=Dades!$C$249,Dades!$D$249,VLOOKUP(F35,Dades!$AE$223:$AF$467,2,0))))</f>
        <v/>
      </c>
      <c r="J35" s="91" t="str">
        <f t="shared" si="0"/>
        <v/>
      </c>
      <c r="K35" s="41"/>
      <c r="L35" s="41"/>
    </row>
    <row r="36" spans="1:17" s="2" customFormat="1" ht="15" customHeight="1" x14ac:dyDescent="0.3">
      <c r="A36" s="47"/>
      <c r="B36" s="13"/>
      <c r="C36" s="13"/>
      <c r="E36" s="415"/>
      <c r="F36" s="425"/>
      <c r="G36" s="426"/>
      <c r="H36" s="429"/>
      <c r="I36" s="90" t="str">
        <f>IF(OR(F36="",H36=""),"",IF(G36=Dades!$C$248,Dades!$D$248,IF(G36=Dades!$C$249,Dades!$D$249,VLOOKUP(F36,Dades!$AE$223:$AF$467,2,0))))</f>
        <v/>
      </c>
      <c r="J36" s="91" t="str">
        <f t="shared" si="0"/>
        <v/>
      </c>
      <c r="K36" s="41"/>
      <c r="L36" s="41"/>
    </row>
    <row r="37" spans="1:17" s="2" customFormat="1" x14ac:dyDescent="0.3">
      <c r="A37" s="47"/>
      <c r="B37" s="13"/>
      <c r="C37" s="13"/>
      <c r="E37" s="415"/>
      <c r="F37" s="425"/>
      <c r="G37" s="426"/>
      <c r="H37" s="429"/>
      <c r="I37" s="90" t="str">
        <f>IF(OR(F37="",H37=""),"",IF(G37=Dades!$C$248,Dades!$D$248,IF(G37=Dades!$C$249,Dades!$D$249,VLOOKUP(F37,Dades!$AE$223:$AF$467,2,0))))</f>
        <v/>
      </c>
      <c r="J37" s="91" t="str">
        <f t="shared" si="0"/>
        <v/>
      </c>
      <c r="K37" s="41"/>
      <c r="L37" s="41"/>
    </row>
    <row r="38" spans="1:17" s="2" customFormat="1" x14ac:dyDescent="0.3">
      <c r="A38" s="47"/>
      <c r="B38" s="13"/>
      <c r="C38" s="13"/>
      <c r="E38" s="415"/>
      <c r="F38" s="425"/>
      <c r="G38" s="426"/>
      <c r="H38" s="429"/>
      <c r="I38" s="90" t="str">
        <f>IF(OR(F38="",H38=""),"",IF(G38=Dades!$C$248,Dades!$D$248,IF(G38=Dades!$C$249,Dades!$D$249,VLOOKUP(F38,Dades!$AE$223:$AF$467,2,0))))</f>
        <v/>
      </c>
      <c r="J38" s="91" t="str">
        <f t="shared" si="0"/>
        <v/>
      </c>
      <c r="K38" s="41"/>
      <c r="L38" s="41"/>
    </row>
    <row r="39" spans="1:17" s="2" customFormat="1" x14ac:dyDescent="0.3">
      <c r="A39" s="47"/>
      <c r="B39" s="13"/>
      <c r="C39" s="13"/>
      <c r="E39" s="415"/>
      <c r="F39" s="425"/>
      <c r="G39" s="426"/>
      <c r="H39" s="429"/>
      <c r="I39" s="90" t="str">
        <f>IF(OR(F39="",H39=""),"",IF(G39=Dades!$C$248,Dades!$D$248,IF(G39=Dades!$C$249,Dades!$D$249,VLOOKUP(F39,Dades!$AE$223:$AF$467,2,0))))</f>
        <v/>
      </c>
      <c r="J39" s="91" t="str">
        <f t="shared" si="0"/>
        <v/>
      </c>
      <c r="K39" s="41"/>
      <c r="L39" s="41"/>
    </row>
    <row r="40" spans="1:17" s="2" customFormat="1" x14ac:dyDescent="0.3">
      <c r="A40" s="47"/>
      <c r="B40" s="13"/>
      <c r="C40" s="13"/>
      <c r="E40" s="415"/>
      <c r="F40" s="425"/>
      <c r="G40" s="426"/>
      <c r="H40" s="429"/>
      <c r="I40" s="90" t="str">
        <f>IF(OR(F40="",H40=""),"",IF(G40=Dades!$C$248,Dades!$D$248,IF(G40=Dades!$C$249,Dades!$D$249,VLOOKUP(F40,Dades!$AE$223:$AF$467,2,0))))</f>
        <v/>
      </c>
      <c r="J40" s="91" t="str">
        <f t="shared" si="0"/>
        <v/>
      </c>
      <c r="K40" s="41"/>
      <c r="L40" s="41"/>
    </row>
    <row r="41" spans="1:17" s="2" customFormat="1" x14ac:dyDescent="0.3">
      <c r="A41" s="47"/>
      <c r="B41" s="13"/>
      <c r="C41" s="13"/>
      <c r="E41" s="415"/>
      <c r="F41" s="425"/>
      <c r="G41" s="426"/>
      <c r="H41" s="429"/>
      <c r="I41" s="90" t="str">
        <f>IF(OR(F41="",H41=""),"",IF(G41=Dades!$C$248,Dades!$D$248,IF(G41=Dades!$C$249,Dades!$D$249,VLOOKUP(F41,Dades!$AE$223:$AF$467,2,0))))</f>
        <v/>
      </c>
      <c r="J41" s="91" t="str">
        <f t="shared" si="0"/>
        <v/>
      </c>
      <c r="K41" s="41"/>
      <c r="L41" s="41"/>
    </row>
    <row r="42" spans="1:17" s="2" customFormat="1" x14ac:dyDescent="0.3">
      <c r="A42" s="47"/>
      <c r="B42" s="13"/>
      <c r="C42" s="13"/>
    </row>
    <row r="43" spans="1:17" s="26" customFormat="1" ht="16.5" customHeight="1" x14ac:dyDescent="0.25">
      <c r="A43" s="47"/>
      <c r="B43" s="16"/>
      <c r="C43" s="13"/>
      <c r="D43" s="470" t="s">
        <v>31</v>
      </c>
      <c r="E43" s="470"/>
      <c r="F43" s="470"/>
      <c r="G43" s="470"/>
      <c r="H43" s="470"/>
      <c r="I43" s="470"/>
      <c r="J43" s="470"/>
      <c r="K43" s="470"/>
      <c r="L43" s="46"/>
      <c r="M43" s="46"/>
      <c r="N43" s="27"/>
      <c r="O43" s="27"/>
      <c r="P43" s="27"/>
      <c r="Q43" s="27"/>
    </row>
    <row r="44" spans="1:17" s="2" customFormat="1" ht="42" customHeight="1" x14ac:dyDescent="0.3">
      <c r="A44" s="47"/>
      <c r="B44" s="13"/>
      <c r="C44" s="13"/>
      <c r="D44" s="487" t="s">
        <v>934</v>
      </c>
      <c r="E44" s="487"/>
      <c r="F44" s="487"/>
      <c r="G44" s="487"/>
      <c r="H44" s="487"/>
      <c r="I44" s="487"/>
      <c r="J44" s="487"/>
      <c r="K44" s="487"/>
      <c r="L44" s="101"/>
      <c r="M44" s="46"/>
    </row>
    <row r="45" spans="1:17" s="2" customFormat="1" ht="68.25" customHeight="1" x14ac:dyDescent="0.3">
      <c r="A45" s="47"/>
      <c r="B45" s="13"/>
      <c r="C45" s="13"/>
      <c r="E45" s="499" t="s">
        <v>935</v>
      </c>
      <c r="F45" s="499"/>
      <c r="G45" s="499"/>
      <c r="H45" s="499"/>
      <c r="I45" s="499"/>
      <c r="J45" s="499"/>
      <c r="K45" s="499"/>
    </row>
    <row r="46" spans="1:17" s="2" customFormat="1" ht="25.5" customHeight="1" x14ac:dyDescent="0.3">
      <c r="A46" s="47"/>
      <c r="B46" s="13"/>
      <c r="C46" s="13"/>
      <c r="E46" s="497" t="s">
        <v>933</v>
      </c>
      <c r="F46" s="497"/>
      <c r="G46" s="497"/>
      <c r="H46" s="497"/>
      <c r="I46" s="497"/>
      <c r="J46" s="497"/>
      <c r="K46" s="497"/>
    </row>
    <row r="47" spans="1:17" s="2" customFormat="1" ht="16.5" customHeight="1" x14ac:dyDescent="0.3">
      <c r="A47" s="47"/>
      <c r="B47" s="13"/>
      <c r="C47" s="13"/>
      <c r="E47" s="464" t="s">
        <v>930</v>
      </c>
      <c r="F47" s="464" t="s">
        <v>931</v>
      </c>
      <c r="G47" s="464" t="s">
        <v>940</v>
      </c>
      <c r="H47" s="464" t="s">
        <v>932</v>
      </c>
      <c r="I47" s="464" t="s">
        <v>929</v>
      </c>
      <c r="J47" s="464" t="s">
        <v>926</v>
      </c>
      <c r="K47" s="464" t="s">
        <v>928</v>
      </c>
      <c r="L47" s="68"/>
      <c r="M47" s="68"/>
    </row>
    <row r="48" spans="1:17" s="2" customFormat="1" x14ac:dyDescent="0.3">
      <c r="A48" s="47"/>
      <c r="B48" s="13"/>
      <c r="C48" s="13"/>
      <c r="E48" s="464"/>
      <c r="F48" s="464"/>
      <c r="G48" s="464"/>
      <c r="H48" s="464"/>
      <c r="I48" s="464"/>
      <c r="J48" s="464"/>
      <c r="K48" s="464"/>
    </row>
    <row r="49" spans="1:12" s="2" customFormat="1" x14ac:dyDescent="0.3">
      <c r="A49" s="47"/>
      <c r="B49" s="13"/>
      <c r="C49" s="13"/>
      <c r="E49" s="415"/>
      <c r="F49" s="425"/>
      <c r="G49" s="431"/>
      <c r="H49" s="429"/>
      <c r="I49" s="90" t="str">
        <f>IF(OR(F49="",H49=""),"",IF(G49=Dades!$C$248,Dades!$D$248,IF(G49=Dades!$C$249,Dades!$D$249,VLOOKUP(F49,Dades!$AE$223:$AF$467,2,0))))</f>
        <v/>
      </c>
      <c r="J49" s="91" t="str">
        <f>IF(I49="","",H49*I49)</f>
        <v/>
      </c>
      <c r="K49" s="58">
        <f>SUM(J49:J68)</f>
        <v>0</v>
      </c>
    </row>
    <row r="50" spans="1:12" s="2" customFormat="1" x14ac:dyDescent="0.3">
      <c r="A50" s="47"/>
      <c r="B50" s="13"/>
      <c r="C50" s="13"/>
      <c r="E50" s="415"/>
      <c r="F50" s="425"/>
      <c r="G50" s="431"/>
      <c r="H50" s="429"/>
      <c r="I50" s="90" t="str">
        <f>IF(OR(F50="",H50=""),"",IF(G50=Dades!$C$248,Dades!$D$248,IF(G50=Dades!$C$249,Dades!$D$249,VLOOKUP(F50,Dades!$AE$223:$AF$467,2,0))))</f>
        <v/>
      </c>
      <c r="J50" s="91" t="str">
        <f t="shared" ref="J50:J68" si="1">IF(I50="","",H50*I50)</f>
        <v/>
      </c>
      <c r="K50" s="41"/>
    </row>
    <row r="51" spans="1:12" s="2" customFormat="1" x14ac:dyDescent="0.3">
      <c r="A51" s="22"/>
      <c r="B51" s="13"/>
      <c r="C51" s="13"/>
      <c r="E51" s="415"/>
      <c r="F51" s="425"/>
      <c r="G51" s="431"/>
      <c r="H51" s="429"/>
      <c r="I51" s="90" t="str">
        <f>IF(OR(F51="",H51=""),"",IF(G51=Dades!$C$248,Dades!$D$248,IF(G51=Dades!$C$249,Dades!$D$249,VLOOKUP(F51,Dades!$AE$223:$AF$467,2,0))))</f>
        <v/>
      </c>
      <c r="J51" s="91" t="str">
        <f t="shared" si="1"/>
        <v/>
      </c>
      <c r="K51" s="41"/>
    </row>
    <row r="52" spans="1:12" s="2" customFormat="1" x14ac:dyDescent="0.3">
      <c r="A52" s="22"/>
      <c r="B52" s="13"/>
      <c r="C52" s="13"/>
      <c r="E52" s="415"/>
      <c r="F52" s="425"/>
      <c r="G52" s="431"/>
      <c r="H52" s="429"/>
      <c r="I52" s="90" t="str">
        <f>IF(OR(F52="",H52=""),"",IF(G52=Dades!$C$248,Dades!$D$248,IF(G52=Dades!$C$249,Dades!$D$249,VLOOKUP(F52,Dades!$AE$223:$AF$467,2,0))))</f>
        <v/>
      </c>
      <c r="J52" s="91" t="str">
        <f t="shared" si="1"/>
        <v/>
      </c>
      <c r="K52" s="41"/>
    </row>
    <row r="53" spans="1:12" s="2" customFormat="1" x14ac:dyDescent="0.3">
      <c r="A53" s="22"/>
      <c r="B53" s="13"/>
      <c r="C53" s="13"/>
      <c r="E53" s="415"/>
      <c r="F53" s="425"/>
      <c r="G53" s="431"/>
      <c r="H53" s="429"/>
      <c r="I53" s="90" t="str">
        <f>IF(OR(F53="",H53=""),"",IF(G53=Dades!$C$248,Dades!$D$248,IF(G53=Dades!$C$249,Dades!$D$249,VLOOKUP(F53,Dades!$AE$223:$AF$467,2,0))))</f>
        <v/>
      </c>
      <c r="J53" s="91" t="str">
        <f t="shared" si="1"/>
        <v/>
      </c>
      <c r="K53" s="41"/>
    </row>
    <row r="54" spans="1:12" s="2" customFormat="1" x14ac:dyDescent="0.3">
      <c r="A54" s="13"/>
      <c r="B54" s="13"/>
      <c r="C54" s="13"/>
      <c r="E54" s="415"/>
      <c r="F54" s="425"/>
      <c r="G54" s="431"/>
      <c r="H54" s="429"/>
      <c r="I54" s="90" t="str">
        <f>IF(OR(F54="",H54=""),"",IF(G54=Dades!$C$248,Dades!$D$248,IF(G54=Dades!$C$249,Dades!$D$249,VLOOKUP(F54,Dades!$AE$223:$AF$467,2,0))))</f>
        <v/>
      </c>
      <c r="J54" s="91" t="str">
        <f t="shared" si="1"/>
        <v/>
      </c>
      <c r="K54" s="41"/>
    </row>
    <row r="55" spans="1:12" s="2" customFormat="1" x14ac:dyDescent="0.3">
      <c r="A55" s="26"/>
      <c r="B55" s="26"/>
      <c r="C55" s="26"/>
      <c r="E55" s="415"/>
      <c r="F55" s="425"/>
      <c r="G55" s="431"/>
      <c r="H55" s="429"/>
      <c r="I55" s="90" t="str">
        <f>IF(OR(F55="",H55=""),"",IF(G55=Dades!$C$248,Dades!$D$248,IF(G55=Dades!$C$249,Dades!$D$249,VLOOKUP(F55,Dades!$AE$223:$AF$467,2,0))))</f>
        <v/>
      </c>
      <c r="J55" s="91" t="str">
        <f t="shared" si="1"/>
        <v/>
      </c>
      <c r="K55" s="41"/>
    </row>
    <row r="56" spans="1:12" s="2" customFormat="1" x14ac:dyDescent="0.3">
      <c r="A56" s="26"/>
      <c r="B56" s="26"/>
      <c r="C56" s="26"/>
      <c r="E56" s="415"/>
      <c r="F56" s="425"/>
      <c r="G56" s="431"/>
      <c r="H56" s="429"/>
      <c r="I56" s="90" t="str">
        <f>IF(OR(F56="",H56=""),"",IF(G56=Dades!$C$248,Dades!$D$248,IF(G56=Dades!$C$249,Dades!$D$249,VLOOKUP(F56,Dades!$AE$223:$AF$467,2,0))))</f>
        <v/>
      </c>
      <c r="J56" s="91" t="str">
        <f t="shared" si="1"/>
        <v/>
      </c>
      <c r="K56" s="41"/>
    </row>
    <row r="57" spans="1:12" s="2" customFormat="1" x14ac:dyDescent="0.3">
      <c r="A57" s="26"/>
      <c r="B57" s="26"/>
      <c r="C57" s="26"/>
      <c r="E57" s="415"/>
      <c r="F57" s="425"/>
      <c r="G57" s="431"/>
      <c r="H57" s="429"/>
      <c r="I57" s="90" t="str">
        <f>IF(OR(F57="",H57=""),"",IF(G57=Dades!$C$248,Dades!$D$248,IF(G57=Dades!$C$249,Dades!$D$249,VLOOKUP(F57,Dades!$AE$223:$AF$467,2,0))))</f>
        <v/>
      </c>
      <c r="J57" s="91" t="str">
        <f t="shared" si="1"/>
        <v/>
      </c>
      <c r="K57" s="41"/>
    </row>
    <row r="58" spans="1:12" s="2" customFormat="1" x14ac:dyDescent="0.3">
      <c r="A58" s="26"/>
      <c r="B58" s="26"/>
      <c r="C58" s="26"/>
      <c r="E58" s="415"/>
      <c r="F58" s="425"/>
      <c r="G58" s="431"/>
      <c r="H58" s="429"/>
      <c r="I58" s="90" t="str">
        <f>IF(OR(F58="",H58=""),"",IF(G58=Dades!$C$248,Dades!$D$248,IF(G58=Dades!$C$249,Dades!$D$249,VLOOKUP(F58,Dades!$AE$223:$AF$467,2,0))))</f>
        <v/>
      </c>
      <c r="J58" s="91" t="str">
        <f t="shared" si="1"/>
        <v/>
      </c>
      <c r="K58" s="41"/>
    </row>
    <row r="59" spans="1:12" s="2" customFormat="1" x14ac:dyDescent="0.3">
      <c r="A59" s="26"/>
      <c r="B59" s="26"/>
      <c r="C59" s="26"/>
      <c r="E59" s="415"/>
      <c r="F59" s="425"/>
      <c r="G59" s="431"/>
      <c r="H59" s="429"/>
      <c r="I59" s="90" t="str">
        <f>IF(OR(F59="",H59=""),"",IF(G59=Dades!$C$248,Dades!$D$248,IF(G59=Dades!$C$249,Dades!$D$249,VLOOKUP(F59,Dades!$AE$223:$AF$467,2,0))))</f>
        <v/>
      </c>
      <c r="J59" s="91" t="str">
        <f t="shared" si="1"/>
        <v/>
      </c>
      <c r="K59" s="41"/>
      <c r="L59" s="41"/>
    </row>
    <row r="60" spans="1:12" s="2" customFormat="1" x14ac:dyDescent="0.3">
      <c r="A60" s="26"/>
      <c r="B60" s="26"/>
      <c r="C60" s="26"/>
      <c r="E60" s="415"/>
      <c r="F60" s="425"/>
      <c r="G60" s="431"/>
      <c r="H60" s="429"/>
      <c r="I60" s="90" t="str">
        <f>IF(OR(F60="",H60=""),"",IF(G60=Dades!$C$248,Dades!$D$248,IF(G60=Dades!$C$249,Dades!$D$249,VLOOKUP(F60,Dades!$AE$223:$AF$467,2,0))))</f>
        <v/>
      </c>
      <c r="J60" s="91" t="str">
        <f t="shared" si="1"/>
        <v/>
      </c>
      <c r="K60" s="41"/>
      <c r="L60" s="41"/>
    </row>
    <row r="61" spans="1:12" s="2" customFormat="1" x14ac:dyDescent="0.3">
      <c r="A61" s="26"/>
      <c r="B61" s="26"/>
      <c r="C61" s="26"/>
      <c r="E61" s="415"/>
      <c r="F61" s="425"/>
      <c r="G61" s="431"/>
      <c r="H61" s="429"/>
      <c r="I61" s="90" t="str">
        <f>IF(OR(F61="",H61=""),"",IF(G61=Dades!$C$248,Dades!$D$248,IF(G61=Dades!$C$249,Dades!$D$249,VLOOKUP(F61,Dades!$AE$223:$AF$467,2,0))))</f>
        <v/>
      </c>
      <c r="J61" s="91" t="str">
        <f t="shared" si="1"/>
        <v/>
      </c>
      <c r="K61" s="41"/>
      <c r="L61" s="41"/>
    </row>
    <row r="62" spans="1:12" s="2" customFormat="1" x14ac:dyDescent="0.3">
      <c r="A62" s="26"/>
      <c r="B62" s="26"/>
      <c r="C62" s="26"/>
      <c r="E62" s="415"/>
      <c r="F62" s="425"/>
      <c r="G62" s="431"/>
      <c r="H62" s="429"/>
      <c r="I62" s="90" t="str">
        <f>IF(OR(F62="",H62=""),"",IF(G62=Dades!$C$248,Dades!$D$248,IF(G62=Dades!$C$249,Dades!$D$249,VLOOKUP(F62,Dades!$AE$223:$AF$467,2,0))))</f>
        <v/>
      </c>
      <c r="J62" s="91" t="str">
        <f t="shared" si="1"/>
        <v/>
      </c>
      <c r="K62" s="41"/>
      <c r="L62" s="41"/>
    </row>
    <row r="63" spans="1:12" s="2" customFormat="1" x14ac:dyDescent="0.3">
      <c r="A63" s="26"/>
      <c r="B63" s="26"/>
      <c r="C63" s="26"/>
      <c r="E63" s="415"/>
      <c r="F63" s="425"/>
      <c r="G63" s="431"/>
      <c r="H63" s="429"/>
      <c r="I63" s="90" t="str">
        <f>IF(OR(F63="",H63=""),"",IF(G63=Dades!$C$248,Dades!$D$248,IF(G63=Dades!$C$249,Dades!$D$249,VLOOKUP(F63,Dades!$AE$223:$AF$467,2,0))))</f>
        <v/>
      </c>
      <c r="J63" s="91" t="str">
        <f t="shared" si="1"/>
        <v/>
      </c>
      <c r="K63" s="41"/>
      <c r="L63" s="41"/>
    </row>
    <row r="64" spans="1:12" s="2" customFormat="1" x14ac:dyDescent="0.3">
      <c r="A64" s="26"/>
      <c r="B64" s="26"/>
      <c r="C64" s="26"/>
      <c r="E64" s="415"/>
      <c r="F64" s="425"/>
      <c r="G64" s="431"/>
      <c r="H64" s="429"/>
      <c r="I64" s="90" t="str">
        <f>IF(OR(F64="",H64=""),"",IF(G64=Dades!$C$248,Dades!$D$248,IF(G64=Dades!$C$249,Dades!$D$249,VLOOKUP(F64,Dades!$AE$223:$AF$467,2,0))))</f>
        <v/>
      </c>
      <c r="J64" s="91" t="str">
        <f t="shared" si="1"/>
        <v/>
      </c>
      <c r="K64" s="41"/>
      <c r="L64" s="41"/>
    </row>
    <row r="65" spans="1:57" s="2" customFormat="1" x14ac:dyDescent="0.3">
      <c r="A65" s="26"/>
      <c r="B65" s="26"/>
      <c r="C65" s="26"/>
      <c r="E65" s="415"/>
      <c r="F65" s="425"/>
      <c r="G65" s="431"/>
      <c r="H65" s="429"/>
      <c r="I65" s="90" t="str">
        <f>IF(OR(F65="",H65=""),"",IF(G65=Dades!$C$248,Dades!$D$248,IF(G65=Dades!$C$249,Dades!$D$249,VLOOKUP(F65,Dades!$AE$223:$AF$467,2,0))))</f>
        <v/>
      </c>
      <c r="J65" s="91" t="str">
        <f t="shared" si="1"/>
        <v/>
      </c>
      <c r="K65" s="41"/>
    </row>
    <row r="66" spans="1:57" s="2" customFormat="1" x14ac:dyDescent="0.3">
      <c r="A66" s="26"/>
      <c r="B66" s="26"/>
      <c r="C66" s="26"/>
      <c r="E66" s="415"/>
      <c r="F66" s="425"/>
      <c r="G66" s="431"/>
      <c r="H66" s="429"/>
      <c r="I66" s="90" t="str">
        <f>IF(OR(F66="",H66=""),"",IF(G66=Dades!$C$248,Dades!$D$248,IF(G66=Dades!$C$249,Dades!$D$249,VLOOKUP(F66,Dades!$AE$223:$AF$467,2,0))))</f>
        <v/>
      </c>
      <c r="J66" s="91" t="str">
        <f t="shared" si="1"/>
        <v/>
      </c>
      <c r="K66" s="41"/>
    </row>
    <row r="67" spans="1:57" s="2" customFormat="1" x14ac:dyDescent="0.3">
      <c r="A67" s="26"/>
      <c r="B67" s="26"/>
      <c r="C67" s="26"/>
      <c r="E67" s="415"/>
      <c r="F67" s="425"/>
      <c r="G67" s="431"/>
      <c r="H67" s="429"/>
      <c r="I67" s="90" t="str">
        <f>IF(OR(F67="",H67=""),"",IF(G67=Dades!$C$248,Dades!$D$248,IF(G67=Dades!$C$249,Dades!$D$249,VLOOKUP(F67,Dades!$AE$223:$AF$467,2,0))))</f>
        <v/>
      </c>
      <c r="J67" s="91" t="str">
        <f t="shared" si="1"/>
        <v/>
      </c>
      <c r="K67" s="41"/>
    </row>
    <row r="68" spans="1:57" s="2" customFormat="1" x14ac:dyDescent="0.3">
      <c r="A68" s="26"/>
      <c r="B68" s="26"/>
      <c r="C68" s="26"/>
      <c r="E68" s="415"/>
      <c r="F68" s="425"/>
      <c r="G68" s="431"/>
      <c r="H68" s="429"/>
      <c r="I68" s="90" t="str">
        <f>IF(OR(F68="",H68=""),"",IF(G68=Dades!$C$248,Dades!$D$248,IF(G68=Dades!$C$249,Dades!$D$249,VLOOKUP(F68,Dades!$AE$223:$AF$467,2,0))))</f>
        <v/>
      </c>
      <c r="J68" s="91" t="str">
        <f t="shared" si="1"/>
        <v/>
      </c>
      <c r="K68" s="41"/>
    </row>
    <row r="69" spans="1:57" s="2" customFormat="1" x14ac:dyDescent="0.3">
      <c r="A69" s="13"/>
      <c r="B69" s="13"/>
      <c r="C69" s="13"/>
      <c r="J69" s="102"/>
    </row>
    <row r="70" spans="1:57" s="2" customFormat="1" x14ac:dyDescent="0.3">
      <c r="A70" s="13"/>
      <c r="B70" s="13"/>
      <c r="C70" s="13"/>
      <c r="J70" s="102"/>
    </row>
    <row r="71" spans="1:57" s="2" customFormat="1" x14ac:dyDescent="0.3">
      <c r="A71" s="13"/>
      <c r="B71" s="13"/>
      <c r="C71" s="13"/>
      <c r="G71" s="83"/>
      <c r="H71" s="83"/>
      <c r="I71" s="83"/>
      <c r="J71" s="83"/>
      <c r="K71" s="83"/>
      <c r="L71" s="83"/>
      <c r="M71" s="83"/>
      <c r="AW71" s="83"/>
      <c r="AX71" s="83"/>
      <c r="AY71" s="83"/>
      <c r="AZ71" s="83"/>
      <c r="BA71" s="83"/>
      <c r="BB71" s="83"/>
      <c r="BC71" s="83"/>
      <c r="BD71" s="83"/>
      <c r="BE71" s="83"/>
    </row>
    <row r="72" spans="1:57" s="2" customFormat="1" x14ac:dyDescent="0.3">
      <c r="A72" s="13"/>
      <c r="B72" s="13"/>
      <c r="C72" s="13"/>
      <c r="G72" s="83"/>
      <c r="H72" s="83"/>
      <c r="I72" s="83"/>
      <c r="J72" s="83"/>
      <c r="K72" s="83"/>
      <c r="L72" s="83"/>
      <c r="M72" s="83"/>
      <c r="AW72" s="83"/>
      <c r="AX72" s="83"/>
      <c r="AY72" s="83"/>
      <c r="AZ72" s="83"/>
      <c r="BA72" s="83"/>
      <c r="BB72" s="83"/>
      <c r="BC72" s="83"/>
      <c r="BD72" s="83"/>
      <c r="BE72" s="83"/>
    </row>
    <row r="73" spans="1:57" s="2" customFormat="1" x14ac:dyDescent="0.3">
      <c r="A73" s="13"/>
      <c r="B73" s="13"/>
      <c r="C73" s="13"/>
      <c r="G73" s="83"/>
      <c r="H73" s="83"/>
      <c r="I73" s="83"/>
      <c r="J73" s="83"/>
      <c r="K73" s="83"/>
      <c r="L73" s="83"/>
      <c r="M73" s="83"/>
      <c r="AW73" s="83"/>
      <c r="AX73" s="83"/>
      <c r="AY73" s="83"/>
      <c r="AZ73" s="83"/>
      <c r="BA73" s="83"/>
      <c r="BB73" s="83"/>
      <c r="BC73" s="83"/>
      <c r="BD73" s="83"/>
      <c r="BE73" s="83"/>
    </row>
    <row r="74" spans="1:57" s="2" customFormat="1" x14ac:dyDescent="0.3">
      <c r="A74" s="13"/>
      <c r="B74" s="13"/>
      <c r="C74" s="13"/>
      <c r="G74" s="83"/>
      <c r="H74" s="83"/>
      <c r="I74" s="83"/>
      <c r="J74" s="83"/>
      <c r="K74" s="83"/>
      <c r="L74" s="83"/>
      <c r="M74" s="83"/>
      <c r="AW74" s="83"/>
      <c r="AX74" s="83"/>
      <c r="AY74" s="83"/>
      <c r="AZ74" s="83"/>
      <c r="BA74" s="83"/>
      <c r="BB74" s="83"/>
      <c r="BC74" s="83"/>
      <c r="BD74" s="83"/>
      <c r="BE74" s="83"/>
    </row>
    <row r="75" spans="1:57" s="2" customFormat="1" x14ac:dyDescent="0.3">
      <c r="A75" s="13"/>
      <c r="B75" s="13"/>
      <c r="C75" s="13"/>
      <c r="G75" s="83"/>
      <c r="H75" s="83"/>
      <c r="I75" s="83"/>
      <c r="J75" s="83"/>
      <c r="K75" s="83"/>
      <c r="L75" s="83"/>
      <c r="M75" s="83"/>
      <c r="AW75" s="83"/>
      <c r="AX75" s="83"/>
      <c r="AY75" s="83"/>
      <c r="AZ75" s="83"/>
      <c r="BA75" s="83"/>
      <c r="BB75" s="83"/>
      <c r="BC75" s="83"/>
      <c r="BD75" s="83"/>
      <c r="BE75" s="83"/>
    </row>
    <row r="76" spans="1:57" s="2" customFormat="1" x14ac:dyDescent="0.3">
      <c r="A76" s="13"/>
      <c r="B76" s="13"/>
      <c r="C76" s="13"/>
      <c r="G76" s="83"/>
      <c r="H76" s="83"/>
      <c r="I76" s="83"/>
      <c r="J76" s="83"/>
      <c r="K76" s="83"/>
      <c r="L76" s="83"/>
      <c r="M76" s="83"/>
      <c r="AW76" s="83"/>
      <c r="AX76" s="83"/>
      <c r="AY76" s="83"/>
      <c r="AZ76" s="83"/>
      <c r="BA76" s="83"/>
      <c r="BB76" s="83"/>
      <c r="BC76" s="83"/>
      <c r="BD76" s="83"/>
      <c r="BE76" s="83"/>
    </row>
    <row r="77" spans="1:57" s="2" customFormat="1" x14ac:dyDescent="0.3">
      <c r="A77" s="13"/>
      <c r="B77" s="13"/>
      <c r="C77" s="13"/>
      <c r="G77" s="83"/>
      <c r="H77" s="83"/>
      <c r="I77" s="83"/>
      <c r="J77" s="83"/>
      <c r="K77" s="83"/>
      <c r="L77" s="83"/>
      <c r="M77" s="83"/>
      <c r="AW77" s="83"/>
      <c r="AX77" s="83"/>
      <c r="AY77" s="83"/>
      <c r="AZ77" s="83"/>
      <c r="BA77" s="83"/>
      <c r="BB77" s="83"/>
      <c r="BC77" s="83"/>
      <c r="BD77" s="83"/>
      <c r="BE77" s="83"/>
    </row>
    <row r="78" spans="1:57" s="2" customFormat="1" x14ac:dyDescent="0.3">
      <c r="A78" s="13"/>
      <c r="B78" s="13"/>
      <c r="C78" s="13"/>
      <c r="G78" s="83"/>
      <c r="H78" s="83"/>
      <c r="I78" s="83"/>
      <c r="J78" s="83"/>
      <c r="K78" s="83"/>
      <c r="L78" s="83"/>
      <c r="M78" s="83"/>
      <c r="AW78" s="83"/>
      <c r="AX78" s="83"/>
      <c r="AY78" s="83"/>
      <c r="AZ78" s="83"/>
      <c r="BA78" s="83"/>
      <c r="BB78" s="83"/>
      <c r="BC78" s="83"/>
      <c r="BD78" s="83"/>
      <c r="BE78" s="83"/>
    </row>
    <row r="79" spans="1:57" s="2" customFormat="1" x14ac:dyDescent="0.3">
      <c r="A79" s="13"/>
      <c r="B79" s="13"/>
      <c r="C79" s="13"/>
      <c r="G79" s="83"/>
      <c r="H79" s="83"/>
      <c r="I79" s="83"/>
      <c r="J79" s="83"/>
      <c r="K79" s="83"/>
      <c r="L79" s="83"/>
      <c r="M79" s="83"/>
      <c r="AW79" s="83"/>
      <c r="AX79" s="83"/>
      <c r="AY79" s="83"/>
      <c r="AZ79" s="83"/>
      <c r="BA79" s="83"/>
      <c r="BB79" s="83"/>
      <c r="BC79" s="83"/>
      <c r="BD79" s="83"/>
      <c r="BE79" s="83"/>
    </row>
    <row r="80" spans="1:57" x14ac:dyDescent="0.3">
      <c r="F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6:48" x14ac:dyDescent="0.3">
      <c r="F81" s="2"/>
      <c r="J81" s="84"/>
      <c r="K81" s="84"/>
      <c r="L81" s="84"/>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6:48" x14ac:dyDescent="0.3">
      <c r="F82" s="2"/>
      <c r="G82" s="84"/>
      <c r="H82" s="84"/>
      <c r="I82" s="84"/>
      <c r="J82" s="84"/>
      <c r="K82" s="84"/>
      <c r="L82" s="84"/>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6:48" x14ac:dyDescent="0.3">
      <c r="F83" s="2"/>
      <c r="G83" s="84"/>
      <c r="H83" s="84"/>
      <c r="I83" s="84"/>
      <c r="J83" s="84"/>
      <c r="K83" s="84"/>
      <c r="L83" s="84"/>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6:48" x14ac:dyDescent="0.3">
      <c r="F84" s="2"/>
      <c r="G84" s="84"/>
      <c r="H84" s="84"/>
      <c r="I84" s="84"/>
      <c r="J84" s="84"/>
      <c r="K84" s="84"/>
      <c r="L84" s="84"/>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6:48" x14ac:dyDescent="0.3">
      <c r="F85" s="2"/>
      <c r="G85" s="84"/>
      <c r="H85" s="84"/>
      <c r="I85" s="84"/>
      <c r="J85" s="84"/>
      <c r="K85" s="84"/>
      <c r="L85" s="84"/>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6:48" x14ac:dyDescent="0.3">
      <c r="F86" s="103"/>
      <c r="G86" s="84"/>
      <c r="H86" s="84"/>
      <c r="I86" s="84"/>
      <c r="J86" s="84"/>
      <c r="K86" s="84"/>
      <c r="L86" s="84"/>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6:48" x14ac:dyDescent="0.3">
      <c r="F87" s="103"/>
      <c r="G87" s="84"/>
      <c r="H87" s="84"/>
      <c r="I87" s="84"/>
      <c r="J87" s="84"/>
      <c r="K87" s="84"/>
      <c r="L87" s="84"/>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6:48" x14ac:dyDescent="0.3">
      <c r="F88" s="103"/>
      <c r="G88" s="84"/>
      <c r="H88" s="84"/>
      <c r="I88" s="84"/>
      <c r="J88" s="84"/>
      <c r="K88" s="84"/>
      <c r="L88" s="84"/>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6:48" x14ac:dyDescent="0.3">
      <c r="F89" s="103"/>
      <c r="G89" s="84"/>
      <c r="H89" s="84"/>
      <c r="I89" s="84"/>
      <c r="J89" s="84"/>
      <c r="K89" s="84"/>
      <c r="L89" s="84"/>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6:48" x14ac:dyDescent="0.3">
      <c r="F90" s="104"/>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6:48" x14ac:dyDescent="0.3">
      <c r="F91" s="104"/>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6:48" x14ac:dyDescent="0.3">
      <c r="F92" s="104"/>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6:48" x14ac:dyDescent="0.3">
      <c r="F93" s="104"/>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6:48" ht="16.5" customHeight="1" x14ac:dyDescent="0.3">
      <c r="F94" s="495"/>
      <c r="G94" s="495"/>
      <c r="H94" s="495"/>
      <c r="I94" s="495"/>
      <c r="J94" s="495"/>
      <c r="K94" s="495"/>
      <c r="L94" s="94"/>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6:48" x14ac:dyDescent="0.3">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6:48" ht="16.5" customHeight="1" x14ac:dyDescent="0.3">
      <c r="F96" s="498"/>
      <c r="G96" s="498"/>
      <c r="H96" s="498"/>
      <c r="I96" s="498"/>
      <c r="K96" s="95"/>
      <c r="L96" s="95"/>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6:48" x14ac:dyDescent="0.3">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6:48" x14ac:dyDescent="0.3">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6:48" x14ac:dyDescent="0.3">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6:48" x14ac:dyDescent="0.3">
      <c r="F100" s="84"/>
      <c r="G100" s="84"/>
      <c r="H100" s="84"/>
      <c r="I100" s="84"/>
      <c r="J100" s="84"/>
      <c r="K100" s="84"/>
      <c r="L100" s="84"/>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6:48" x14ac:dyDescent="0.3">
      <c r="F101" s="84"/>
      <c r="G101" s="84"/>
      <c r="H101" s="84"/>
      <c r="I101" s="84"/>
      <c r="J101" s="84"/>
      <c r="K101" s="84"/>
      <c r="L101" s="84"/>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6:48" x14ac:dyDescent="0.3">
      <c r="F102" s="84"/>
      <c r="G102" s="84"/>
      <c r="H102" s="84"/>
      <c r="I102" s="84"/>
      <c r="J102" s="84"/>
      <c r="K102" s="84"/>
      <c r="L102" s="84"/>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6:48" x14ac:dyDescent="0.3">
      <c r="F103" s="84"/>
      <c r="G103" s="84"/>
      <c r="H103" s="84"/>
      <c r="I103" s="84"/>
      <c r="J103" s="84"/>
      <c r="K103" s="84"/>
      <c r="L103" s="84"/>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6:48" x14ac:dyDescent="0.3">
      <c r="F104" s="84"/>
      <c r="G104" s="84"/>
      <c r="H104" s="84"/>
      <c r="I104" s="84"/>
      <c r="J104" s="84"/>
      <c r="K104" s="84"/>
      <c r="L104" s="84"/>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6:48" x14ac:dyDescent="0.3">
      <c r="F105" s="84"/>
      <c r="G105" s="84"/>
      <c r="H105" s="84"/>
      <c r="I105" s="84"/>
      <c r="J105" s="84"/>
      <c r="K105" s="84"/>
      <c r="L105" s="84"/>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6:48" x14ac:dyDescent="0.3">
      <c r="F106" s="84"/>
      <c r="G106" s="84"/>
      <c r="H106" s="84"/>
      <c r="I106" s="84"/>
      <c r="J106" s="84"/>
      <c r="K106" s="84"/>
      <c r="L106" s="84"/>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6:48" x14ac:dyDescent="0.3">
      <c r="F107" s="84"/>
      <c r="G107" s="84"/>
      <c r="H107" s="84"/>
      <c r="I107" s="84"/>
      <c r="J107" s="84"/>
      <c r="K107" s="84"/>
      <c r="L107" s="84"/>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6:48" x14ac:dyDescent="0.3">
      <c r="F108" s="84"/>
      <c r="G108" s="84"/>
      <c r="H108" s="84"/>
      <c r="I108" s="84"/>
      <c r="J108" s="84"/>
      <c r="K108" s="84"/>
      <c r="L108" s="84"/>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6:48" x14ac:dyDescent="0.3">
      <c r="F109" s="84"/>
      <c r="G109" s="84"/>
      <c r="H109" s="84"/>
      <c r="I109" s="84"/>
      <c r="J109" s="84"/>
      <c r="K109" s="84"/>
      <c r="L109" s="84"/>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6:48" x14ac:dyDescent="0.3">
      <c r="F110" s="84"/>
      <c r="G110" s="84"/>
      <c r="H110" s="84"/>
      <c r="I110" s="84"/>
      <c r="J110" s="84"/>
      <c r="K110" s="84"/>
      <c r="L110" s="84"/>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6:48" x14ac:dyDescent="0.3">
      <c r="F111" s="84"/>
      <c r="G111" s="84"/>
      <c r="H111" s="84"/>
      <c r="I111" s="84"/>
      <c r="J111" s="84"/>
      <c r="K111" s="84"/>
      <c r="L111" s="84"/>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6:48" x14ac:dyDescent="0.3">
      <c r="F112" s="84"/>
      <c r="G112" s="84"/>
      <c r="H112" s="84"/>
      <c r="I112" s="84"/>
      <c r="J112" s="84"/>
      <c r="K112" s="84"/>
      <c r="L112" s="84"/>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84"/>
      <c r="G113" s="84"/>
      <c r="H113" s="84"/>
      <c r="I113" s="84"/>
      <c r="J113" s="84"/>
      <c r="K113" s="84"/>
      <c r="L113" s="84"/>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84"/>
      <c r="G114" s="84"/>
      <c r="H114" s="84"/>
      <c r="I114" s="84"/>
      <c r="J114" s="84"/>
      <c r="K114" s="84"/>
      <c r="L114" s="84"/>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84"/>
      <c r="G115" s="84"/>
      <c r="H115" s="84"/>
      <c r="I115" s="84"/>
      <c r="J115" s="84"/>
      <c r="K115" s="84"/>
      <c r="L115" s="84"/>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84"/>
      <c r="G116" s="84"/>
      <c r="H116" s="84"/>
      <c r="I116" s="84"/>
      <c r="J116" s="84"/>
      <c r="K116" s="84"/>
      <c r="L116" s="84"/>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84"/>
      <c r="G117" s="84"/>
      <c r="H117" s="84"/>
      <c r="I117" s="84"/>
      <c r="J117" s="84"/>
      <c r="K117" s="84"/>
      <c r="L117" s="84"/>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84"/>
      <c r="G118" s="84"/>
      <c r="H118" s="84"/>
      <c r="I118" s="84"/>
      <c r="J118" s="84"/>
      <c r="K118" s="84"/>
      <c r="L118" s="84"/>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84"/>
      <c r="G119" s="84"/>
      <c r="H119" s="84"/>
      <c r="I119" s="84"/>
      <c r="J119" s="84"/>
      <c r="K119" s="84"/>
      <c r="L119" s="84"/>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84"/>
      <c r="G120" s="84"/>
      <c r="H120" s="84"/>
      <c r="I120" s="84"/>
      <c r="J120" s="84"/>
      <c r="K120" s="84"/>
      <c r="L120" s="84"/>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84"/>
      <c r="G121" s="84"/>
      <c r="H121" s="84"/>
      <c r="I121" s="84"/>
      <c r="J121" s="84"/>
      <c r="K121" s="84"/>
      <c r="L121" s="84"/>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F122" s="84"/>
      <c r="G122" s="84"/>
      <c r="H122" s="84"/>
      <c r="I122" s="84"/>
      <c r="J122" s="84"/>
      <c r="K122" s="84"/>
      <c r="L122" s="84"/>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DW134" s="2"/>
      <c r="DX134" s="2"/>
      <c r="DY134" s="2"/>
      <c r="DZ134" s="2"/>
      <c r="EA134" s="2"/>
      <c r="EB134" s="2"/>
      <c r="EC134" s="2"/>
      <c r="ED134" s="2"/>
      <c r="EE134" s="2"/>
      <c r="EF134" s="2"/>
      <c r="EG134" s="2"/>
      <c r="EH134" s="2"/>
      <c r="EI134" s="2"/>
      <c r="EJ134" s="2"/>
      <c r="EK134" s="2"/>
      <c r="EL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DW145" s="84"/>
      <c r="DX145" s="84"/>
      <c r="DY145" s="84"/>
      <c r="DZ145" s="84"/>
      <c r="EA145" s="84"/>
      <c r="EB145" s="84"/>
      <c r="EC145" s="84"/>
      <c r="ED145" s="84"/>
      <c r="EE145" s="84"/>
      <c r="EF145" s="84"/>
      <c r="EG145" s="84"/>
      <c r="EH145" s="84"/>
      <c r="EI145" s="84"/>
      <c r="EJ145" s="84"/>
      <c r="EK145" s="84"/>
      <c r="EL145" s="84"/>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84"/>
      <c r="DX146" s="84"/>
      <c r="DY146" s="84"/>
      <c r="DZ146" s="84"/>
      <c r="EA146" s="84"/>
      <c r="EB146" s="84"/>
      <c r="EC146" s="84"/>
      <c r="ED146" s="84"/>
      <c r="EE146" s="84"/>
      <c r="EF146" s="84"/>
      <c r="EG146" s="84"/>
      <c r="EH146" s="84"/>
      <c r="EI146" s="84"/>
      <c r="EJ146" s="84"/>
      <c r="EK146" s="84"/>
      <c r="EL146" s="84"/>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84"/>
      <c r="DX147" s="84"/>
      <c r="DY147" s="84"/>
      <c r="DZ147" s="84"/>
      <c r="EA147" s="84"/>
      <c r="EB147" s="84"/>
      <c r="EC147" s="84"/>
      <c r="ED147" s="84"/>
      <c r="EE147" s="84"/>
      <c r="EF147" s="84"/>
      <c r="EG147" s="84"/>
      <c r="EH147" s="84"/>
      <c r="EI147" s="84"/>
      <c r="EJ147" s="84"/>
      <c r="EK147" s="84"/>
      <c r="EL147" s="84"/>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84"/>
      <c r="DX148" s="84"/>
      <c r="DY148" s="84"/>
      <c r="DZ148" s="84"/>
      <c r="EA148" s="84"/>
      <c r="EB148" s="84"/>
      <c r="EC148" s="84"/>
      <c r="ED148" s="84"/>
      <c r="EE148" s="84"/>
      <c r="EF148" s="84"/>
      <c r="EG148" s="84"/>
      <c r="EH148" s="84"/>
      <c r="EI148" s="84"/>
      <c r="EJ148" s="84"/>
      <c r="EK148" s="84"/>
      <c r="EL148" s="84"/>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84"/>
      <c r="DX149" s="84"/>
      <c r="DY149" s="84"/>
      <c r="DZ149" s="84"/>
      <c r="EA149" s="84"/>
      <c r="EB149" s="84"/>
      <c r="EC149" s="84"/>
      <c r="ED149" s="84"/>
      <c r="EE149" s="84"/>
      <c r="EF149" s="84"/>
      <c r="EG149" s="84"/>
      <c r="EH149" s="84"/>
      <c r="EI149" s="84"/>
      <c r="EJ149" s="84"/>
      <c r="EK149" s="84"/>
      <c r="EL149" s="84"/>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DW150" s="84"/>
      <c r="DX150" s="84"/>
      <c r="DY150" s="84"/>
      <c r="DZ150" s="84"/>
      <c r="EA150" s="84"/>
      <c r="EB150" s="84"/>
      <c r="EC150" s="84"/>
      <c r="ED150" s="84"/>
      <c r="EE150" s="84"/>
      <c r="EF150" s="84"/>
      <c r="EG150" s="84"/>
      <c r="EH150" s="84"/>
      <c r="EI150" s="84"/>
      <c r="EJ150" s="84"/>
      <c r="EK150" s="84"/>
      <c r="EL150" s="84"/>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5:48" x14ac:dyDescent="0.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93" spans="6:10" x14ac:dyDescent="0.3">
      <c r="F293" s="96"/>
      <c r="G293" s="96"/>
      <c r="H293" s="96"/>
      <c r="I293" s="96"/>
      <c r="J293" s="96"/>
    </row>
    <row r="294" spans="6:10" x14ac:dyDescent="0.3">
      <c r="F294" s="96"/>
      <c r="G294" s="96"/>
      <c r="H294" s="96"/>
      <c r="I294" s="96"/>
      <c r="J294" s="96"/>
    </row>
  </sheetData>
  <sheetProtection sheet="1" objects="1" scenarios="1"/>
  <mergeCells count="27">
    <mergeCell ref="F94:K94"/>
    <mergeCell ref="F96:I96"/>
    <mergeCell ref="D43:K43"/>
    <mergeCell ref="D44:K44"/>
    <mergeCell ref="E45:K45"/>
    <mergeCell ref="E46:K46"/>
    <mergeCell ref="E47:E48"/>
    <mergeCell ref="F47:F48"/>
    <mergeCell ref="G47:G48"/>
    <mergeCell ref="H47:H48"/>
    <mergeCell ref="I47:I48"/>
    <mergeCell ref="J47:J48"/>
    <mergeCell ref="K47:K48"/>
    <mergeCell ref="D15:L15"/>
    <mergeCell ref="E16:K16"/>
    <mergeCell ref="E17:E18"/>
    <mergeCell ref="F17:F18"/>
    <mergeCell ref="G17:G18"/>
    <mergeCell ref="H17:H18"/>
    <mergeCell ref="I17:I18"/>
    <mergeCell ref="J17:J18"/>
    <mergeCell ref="K17:K18"/>
    <mergeCell ref="C1:M1"/>
    <mergeCell ref="D3:L4"/>
    <mergeCell ref="D5:K5"/>
    <mergeCell ref="D7:K8"/>
    <mergeCell ref="D9:K14"/>
  </mergeCells>
  <conditionalFormatting sqref="J69:J70">
    <cfRule type="expression" dxfId="31" priority="3">
      <formula>ISNUMBER(J69)</formula>
    </cfRule>
  </conditionalFormatting>
  <dataValidations count="2">
    <dataValidation type="decimal" operator="greaterThan" allowBlank="1" showInputMessage="1" showErrorMessage="1" sqref="H20:H41 H49:H68">
      <formula1>0</formula1>
    </dataValidation>
    <dataValidation showInputMessage="1" showErrorMessage="1" sqref="E49:E68"/>
  </dataValidations>
  <hyperlinks>
    <hyperlink ref="A3" location="'0_Dades generals organització'!A1" display="0. Dades de la organització"/>
    <hyperlink ref="A5" location="'2_Fluorats'!A1" display="2. PC Abast 1: Fugues fluorats"/>
    <hyperlink ref="A4" location="'1_Combustibles fòssils'!A1" display="1. PC Abast 1: Comb. fòssils"/>
    <hyperlink ref="A6" location="'3_Emissions processos'!A1" display="3. PC Abast 1: Emissions procés"/>
    <hyperlink ref="A7" location="'4.1_Electricitat Illes Balears'!A1" display="4.1 PC 2: Electricitat I. Balears"/>
    <hyperlink ref="A9" location="'5_Informació addicional'!A1" display="5. Inf. addicional: renovables"/>
    <hyperlink ref="A11" location="'6.1_Resultats Illes Balears'!A1" display="6.1 Informe final: Resultats I. Balears"/>
    <hyperlink ref="A12" location="'6.2_Resultats Espanya'!A1" display="6.2 Informe final: Resultats Espanya"/>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INDIRECT("_Com"&amp;Dades!$F$2)</xm:f>
          </x14:formula1>
          <x14:formula2>
            <xm:f>0</xm:f>
          </x14:formula2>
          <xm:sqref>F49:F68 F20:F41</xm:sqref>
        </x14:dataValidation>
        <x14:dataValidation type="list" showInputMessage="1" showErrorMessage="1">
          <x14:formula1>
            <xm:f>'0_Dades generals organització'!$H$52:$H$302</xm:f>
          </x14:formula1>
          <xm:sqref>E20:E41</xm:sqref>
        </x14:dataValidation>
        <x14:dataValidation type="list" operator="equal" allowBlank="1" showInputMessage="1" showErrorMessage="1">
          <x14:formula1>
            <xm:f>INDIRECT("GdO_"&amp;Dades!$G223)</xm:f>
          </x14:formula1>
          <x14:formula2>
            <xm:f>0</xm:f>
          </x14:formula2>
          <xm:sqref>G20:G41</xm:sqref>
        </x14:dataValidation>
        <x14:dataValidation type="list" operator="equal" allowBlank="1" showInputMessage="1" showErrorMessage="1">
          <x14:formula1>
            <xm:f>INDIRECT("GdO_"&amp;Dades!G484)</xm:f>
          </x14:formula1>
          <x14:formula2>
            <xm:f>0</xm:f>
          </x14:formula2>
          <xm:sqref>G49:G68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145"/>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7109375" style="13" customWidth="1"/>
    <col min="2" max="2" width="1.85546875" style="13" customWidth="1"/>
    <col min="3" max="3" width="1.5703125" style="2" customWidth="1"/>
    <col min="4" max="4" width="5.7109375" style="2" customWidth="1"/>
    <col min="5" max="5" width="24.7109375" style="2" customWidth="1"/>
    <col min="6" max="6" width="21.42578125" style="105" customWidth="1"/>
    <col min="7" max="7" width="17.5703125" style="2" customWidth="1"/>
    <col min="8" max="9" width="17.85546875" style="2" customWidth="1"/>
    <col min="10" max="10" width="18.7109375" style="2" customWidth="1"/>
    <col min="11" max="11" width="15.7109375" style="2" customWidth="1"/>
    <col min="12" max="12" width="14.7109375" style="2" customWidth="1"/>
    <col min="13" max="13" width="3" style="2" customWidth="1"/>
    <col min="14" max="1026" width="11.42578125" style="2"/>
  </cols>
  <sheetData>
    <row r="1" spans="1:20" s="26" customFormat="1" ht="39.950000000000003" customHeight="1" x14ac:dyDescent="0.25">
      <c r="A1" s="13"/>
      <c r="B1" s="14"/>
      <c r="C1" s="444" t="s">
        <v>944</v>
      </c>
      <c r="D1" s="444"/>
      <c r="E1" s="444"/>
      <c r="F1" s="444"/>
      <c r="G1" s="444"/>
      <c r="H1" s="444"/>
      <c r="I1" s="444"/>
      <c r="J1" s="444"/>
      <c r="K1" s="444"/>
      <c r="L1" s="444"/>
      <c r="M1" s="444"/>
      <c r="N1" s="27"/>
      <c r="O1" s="27"/>
      <c r="P1" s="27"/>
      <c r="Q1" s="27"/>
      <c r="R1" s="27"/>
      <c r="S1" s="27"/>
      <c r="T1" s="27"/>
    </row>
    <row r="2" spans="1:20" s="26" customFormat="1" ht="39.950000000000003" customHeight="1" x14ac:dyDescent="0.25">
      <c r="A2" s="13"/>
      <c r="B2" s="14"/>
      <c r="E2" s="27"/>
      <c r="G2" s="27"/>
      <c r="H2" s="27"/>
      <c r="I2" s="27"/>
      <c r="J2" s="27"/>
      <c r="K2" s="27"/>
      <c r="L2" s="27"/>
      <c r="M2" s="27"/>
      <c r="N2" s="27"/>
      <c r="O2" s="27"/>
      <c r="P2" s="27"/>
      <c r="Q2" s="27"/>
      <c r="R2" s="27"/>
      <c r="S2" s="27"/>
      <c r="T2" s="27"/>
    </row>
    <row r="3" spans="1:20" s="26" customFormat="1" ht="16.5" customHeight="1" x14ac:dyDescent="0.2">
      <c r="A3" s="17" t="s">
        <v>827</v>
      </c>
      <c r="B3" s="16"/>
      <c r="D3" s="494" t="s">
        <v>943</v>
      </c>
      <c r="E3" s="494"/>
      <c r="F3" s="494"/>
      <c r="G3" s="494"/>
      <c r="H3" s="494"/>
      <c r="I3" s="494"/>
      <c r="J3" s="494"/>
      <c r="K3" s="494"/>
      <c r="L3" s="494"/>
      <c r="M3" s="27"/>
      <c r="N3" s="27"/>
      <c r="O3" s="27"/>
      <c r="P3" s="27"/>
      <c r="Q3" s="27"/>
      <c r="R3" s="27"/>
      <c r="S3" s="27"/>
      <c r="T3" s="27"/>
    </row>
    <row r="4" spans="1:20" s="26" customFormat="1" ht="16.5" customHeight="1" x14ac:dyDescent="0.2">
      <c r="A4" s="17" t="s">
        <v>828</v>
      </c>
      <c r="B4" s="16"/>
      <c r="D4" s="494"/>
      <c r="E4" s="494"/>
      <c r="F4" s="494"/>
      <c r="G4" s="494"/>
      <c r="H4" s="494"/>
      <c r="I4" s="494"/>
      <c r="J4" s="494"/>
      <c r="K4" s="494"/>
      <c r="L4" s="494"/>
      <c r="M4" s="27"/>
      <c r="N4" s="27"/>
      <c r="O4" s="27"/>
      <c r="P4" s="27"/>
      <c r="Q4" s="27"/>
      <c r="R4" s="27"/>
      <c r="S4" s="27"/>
      <c r="T4" s="27"/>
    </row>
    <row r="5" spans="1:20" s="26" customFormat="1" ht="16.5" customHeight="1" x14ac:dyDescent="0.2">
      <c r="A5" s="17" t="s">
        <v>829</v>
      </c>
      <c r="B5" s="16"/>
      <c r="D5" s="71"/>
      <c r="E5" s="71"/>
      <c r="M5" s="27"/>
      <c r="N5" s="27"/>
      <c r="O5" s="27"/>
      <c r="P5" s="27"/>
      <c r="Q5" s="27"/>
      <c r="R5" s="27"/>
      <c r="S5" s="27"/>
      <c r="T5" s="27"/>
    </row>
    <row r="6" spans="1:20" ht="16.5" customHeight="1" x14ac:dyDescent="0.3">
      <c r="A6" s="17" t="s">
        <v>830</v>
      </c>
      <c r="B6" s="16"/>
      <c r="D6" s="27"/>
      <c r="E6" s="501" t="s">
        <v>945</v>
      </c>
      <c r="F6" s="502"/>
      <c r="G6" s="502"/>
      <c r="H6" s="502"/>
      <c r="I6" s="502"/>
      <c r="J6" s="503"/>
      <c r="K6" s="500" t="s">
        <v>950</v>
      </c>
    </row>
    <row r="7" spans="1:20" ht="16.5" customHeight="1" x14ac:dyDescent="0.3">
      <c r="A7" s="17" t="s">
        <v>831</v>
      </c>
      <c r="B7" s="16"/>
      <c r="D7" s="27"/>
      <c r="E7" s="464" t="s">
        <v>849</v>
      </c>
      <c r="F7" s="465" t="s">
        <v>865</v>
      </c>
      <c r="G7" s="465" t="s">
        <v>948</v>
      </c>
      <c r="H7" s="465" t="s">
        <v>1026</v>
      </c>
      <c r="I7" s="465" t="s">
        <v>1027</v>
      </c>
      <c r="J7" s="465" t="s">
        <v>949</v>
      </c>
      <c r="K7" s="500"/>
    </row>
    <row r="8" spans="1:20" ht="16.5" customHeight="1" x14ac:dyDescent="0.3">
      <c r="A8" s="17" t="s">
        <v>832</v>
      </c>
      <c r="D8" s="27"/>
      <c r="E8" s="464"/>
      <c r="F8" s="471"/>
      <c r="G8" s="471"/>
      <c r="H8" s="471"/>
      <c r="I8" s="471"/>
      <c r="J8" s="471"/>
      <c r="K8" s="500"/>
    </row>
    <row r="9" spans="1:20" ht="16.5" customHeight="1" x14ac:dyDescent="0.3">
      <c r="A9" s="15" t="s">
        <v>833</v>
      </c>
      <c r="D9" s="27"/>
      <c r="E9" s="464"/>
      <c r="F9" s="466"/>
      <c r="G9" s="466"/>
      <c r="H9" s="466"/>
      <c r="I9" s="466"/>
      <c r="J9" s="466"/>
      <c r="K9" s="500"/>
    </row>
    <row r="10" spans="1:20" ht="16.5" customHeight="1" x14ac:dyDescent="0.3">
      <c r="A10" s="17" t="s">
        <v>834</v>
      </c>
      <c r="D10" s="27"/>
      <c r="E10" s="415"/>
      <c r="F10" s="395" t="str">
        <f>IF(E10="","",IF(VLOOKUP(E10,'0_Dades generals organització'!$H$53:$L$300,3,FALSE)="","",VLOOKUP(E10,'0_Dades generals organització'!$H$53:$L$300,3,FALSE)))</f>
        <v/>
      </c>
      <c r="G10" s="416"/>
      <c r="H10" s="57" t="str">
        <f>IF(I10="","",IF(OR(F10="Sí",F10=""),I10,""))</f>
        <v/>
      </c>
      <c r="I10" s="432"/>
      <c r="J10" s="106">
        <f>SUM(H10:H14)</f>
        <v>0</v>
      </c>
      <c r="K10" s="107">
        <v>0</v>
      </c>
    </row>
    <row r="11" spans="1:20" ht="16.5" customHeight="1" x14ac:dyDescent="0.3">
      <c r="A11" s="17" t="s">
        <v>835</v>
      </c>
      <c r="D11" s="27"/>
      <c r="E11" s="415"/>
      <c r="F11" s="395" t="str">
        <f>IF(E11="","",IF(VLOOKUP(E11,'0_Dades generals organització'!$H$53:$L$300,3,FALSE)="","",VLOOKUP(E11,'0_Dades generals organització'!$H$53:$L$300,3,FALSE)))</f>
        <v/>
      </c>
      <c r="G11" s="416"/>
      <c r="H11" s="57" t="str">
        <f t="shared" ref="H11:H14" si="0">IF(I11="","",IF(OR(F11="Sí",F11=""),I11,""))</f>
        <v/>
      </c>
      <c r="I11" s="432"/>
      <c r="J11" s="465" t="s">
        <v>951</v>
      </c>
      <c r="K11" s="26"/>
    </row>
    <row r="12" spans="1:20" ht="17.25" customHeight="1" x14ac:dyDescent="0.3">
      <c r="A12" s="17"/>
      <c r="D12" s="27"/>
      <c r="E12" s="415"/>
      <c r="F12" s="395" t="str">
        <f>IF(E12="","",IF(VLOOKUP(E12,'0_Dades generals organització'!$H$53:$L$300,3,FALSE)="","",VLOOKUP(E12,'0_Dades generals organització'!$H$53:$L$300,3,FALSE)))</f>
        <v/>
      </c>
      <c r="G12" s="416"/>
      <c r="H12" s="57" t="str">
        <f t="shared" si="0"/>
        <v/>
      </c>
      <c r="I12" s="432"/>
      <c r="J12" s="471"/>
      <c r="K12" s="26"/>
    </row>
    <row r="13" spans="1:20" ht="17.25" customHeight="1" x14ac:dyDescent="0.3">
      <c r="A13" s="17"/>
      <c r="D13" s="27"/>
      <c r="E13" s="415"/>
      <c r="F13" s="395" t="str">
        <f>IF(E13="","",IF(VLOOKUP(E13,'0_Dades generals organització'!$H$53:$L$300,3,FALSE)="","",VLOOKUP(E13,'0_Dades generals organització'!$H$53:$L$300,3,FALSE)))</f>
        <v/>
      </c>
      <c r="G13" s="416"/>
      <c r="H13" s="57" t="str">
        <f t="shared" si="0"/>
        <v/>
      </c>
      <c r="I13" s="432"/>
      <c r="J13" s="466"/>
      <c r="K13" s="26"/>
    </row>
    <row r="14" spans="1:20" ht="17.25" customHeight="1" x14ac:dyDescent="0.3">
      <c r="A14" s="17"/>
      <c r="D14" s="27"/>
      <c r="E14" s="415"/>
      <c r="F14" s="395" t="str">
        <f>IF(E14="","",IF(VLOOKUP(E14,'0_Dades generals organització'!$H$53:$L$300,3,FALSE)="","",VLOOKUP(E14,'0_Dades generals organització'!$H$53:$L$300,3,FALSE)))</f>
        <v/>
      </c>
      <c r="G14" s="416"/>
      <c r="H14" s="57" t="str">
        <f t="shared" si="0"/>
        <v/>
      </c>
      <c r="I14" s="432"/>
      <c r="J14" s="106">
        <f>SUM(I10:I14)</f>
        <v>0</v>
      </c>
      <c r="K14" s="26"/>
    </row>
    <row r="15" spans="1:20" ht="8.25" customHeight="1" x14ac:dyDescent="0.3">
      <c r="A15" s="47"/>
      <c r="D15" s="71"/>
      <c r="E15" s="71"/>
      <c r="F15" s="71"/>
      <c r="G15" s="71"/>
      <c r="H15" s="71"/>
      <c r="I15" s="71"/>
      <c r="K15" s="71"/>
    </row>
    <row r="16" spans="1:20" ht="17.25" customHeight="1" x14ac:dyDescent="0.3">
      <c r="A16" s="47"/>
      <c r="D16" s="108" t="s">
        <v>947</v>
      </c>
      <c r="E16" s="109"/>
      <c r="F16" s="109"/>
      <c r="G16" s="109"/>
      <c r="H16" s="109"/>
      <c r="I16" s="109"/>
      <c r="K16" s="109"/>
    </row>
    <row r="17" spans="1:12" ht="6.75" customHeight="1" x14ac:dyDescent="0.3">
      <c r="A17" s="47"/>
      <c r="D17" s="110"/>
      <c r="E17" s="109"/>
      <c r="F17" s="109"/>
      <c r="G17" s="109"/>
      <c r="H17" s="109"/>
      <c r="I17" s="109"/>
      <c r="K17" s="109"/>
    </row>
    <row r="18" spans="1:12" ht="15" customHeight="1" x14ac:dyDescent="0.3">
      <c r="A18" s="47"/>
      <c r="D18" s="26"/>
      <c r="E18" s="504" t="s">
        <v>946</v>
      </c>
      <c r="F18" s="505"/>
      <c r="G18" s="505"/>
      <c r="H18" s="505"/>
      <c r="I18" s="505"/>
      <c r="J18" s="506"/>
      <c r="K18" s="500" t="s">
        <v>950</v>
      </c>
    </row>
    <row r="19" spans="1:12" s="26" customFormat="1" ht="17.25" customHeight="1" x14ac:dyDescent="0.3">
      <c r="A19" s="47"/>
      <c r="B19" s="13"/>
      <c r="E19" s="464" t="s">
        <v>849</v>
      </c>
      <c r="F19" s="465" t="s">
        <v>865</v>
      </c>
      <c r="G19" s="465" t="s">
        <v>961</v>
      </c>
      <c r="H19" s="465" t="s">
        <v>965</v>
      </c>
      <c r="I19" s="465" t="s">
        <v>962</v>
      </c>
      <c r="J19" s="465" t="s">
        <v>963</v>
      </c>
      <c r="K19" s="500"/>
      <c r="L19" s="2"/>
    </row>
    <row r="20" spans="1:12" s="26" customFormat="1" ht="17.25" customHeight="1" x14ac:dyDescent="0.3">
      <c r="A20" s="47"/>
      <c r="B20" s="13"/>
      <c r="E20" s="464"/>
      <c r="F20" s="466"/>
      <c r="G20" s="466"/>
      <c r="H20" s="466"/>
      <c r="I20" s="466"/>
      <c r="J20" s="466"/>
      <c r="K20" s="500"/>
      <c r="L20" s="2"/>
    </row>
    <row r="21" spans="1:12" s="26" customFormat="1" ht="17.25" customHeight="1" x14ac:dyDescent="0.3">
      <c r="A21" s="47"/>
      <c r="B21" s="13"/>
      <c r="E21" s="415"/>
      <c r="F21" s="395" t="str">
        <f>IF(E21="","",IF(VLOOKUP(E21,'0_Dades generals organització'!$H$53:$L$300,3,FALSE)="","",VLOOKUP(E21,'0_Dades generals organització'!$H$53:$L$300,3,FALSE)))</f>
        <v/>
      </c>
      <c r="G21" s="416"/>
      <c r="H21" s="57" t="str">
        <f>IF(I21="","",IF(OR(F21="Sí",F21=""),I21,""))</f>
        <v/>
      </c>
      <c r="I21" s="432"/>
      <c r="J21" s="106">
        <f>SUM(H21:H26)</f>
        <v>0</v>
      </c>
      <c r="K21" s="107">
        <v>0</v>
      </c>
      <c r="L21" s="2"/>
    </row>
    <row r="22" spans="1:12" s="26" customFormat="1" ht="17.25" customHeight="1" x14ac:dyDescent="0.3">
      <c r="A22" s="47"/>
      <c r="B22" s="13"/>
      <c r="E22" s="415"/>
      <c r="F22" s="395" t="str">
        <f>IF(E22="","",IF(VLOOKUP(E22,'0_Dades generals organització'!$H$53:$L$300,3,FALSE)="","",VLOOKUP(E22,'0_Dades generals organització'!$H$53:$L$300,3,FALSE)))</f>
        <v/>
      </c>
      <c r="G22" s="416"/>
      <c r="H22" s="57" t="str">
        <f t="shared" ref="H22:H26" si="1">IF(I22="","",IF(OR(F22="Sí",F22=""),I22,""))</f>
        <v/>
      </c>
      <c r="I22" s="432"/>
      <c r="J22" s="465" t="s">
        <v>964</v>
      </c>
      <c r="K22" s="2"/>
      <c r="L22" s="2"/>
    </row>
    <row r="23" spans="1:12" s="26" customFormat="1" ht="17.25" customHeight="1" x14ac:dyDescent="0.3">
      <c r="A23" s="112"/>
      <c r="B23" s="13"/>
      <c r="E23" s="415"/>
      <c r="F23" s="395" t="str">
        <f>IF(E23="","",IF(VLOOKUP(E23,'0_Dades generals organització'!$H$53:$L$300,3,FALSE)="","",VLOOKUP(E23,'0_Dades generals organització'!$H$53:$L$300,3,FALSE)))</f>
        <v/>
      </c>
      <c r="G23" s="416"/>
      <c r="H23" s="57" t="str">
        <f t="shared" si="1"/>
        <v/>
      </c>
      <c r="I23" s="432"/>
      <c r="J23" s="466"/>
      <c r="K23" s="2"/>
      <c r="L23" s="2"/>
    </row>
    <row r="24" spans="1:12" s="26" customFormat="1" ht="17.25" customHeight="1" x14ac:dyDescent="0.25">
      <c r="A24" s="17"/>
      <c r="B24" s="13"/>
      <c r="E24" s="415"/>
      <c r="F24" s="395" t="str">
        <f>IF(E24="","",IF(VLOOKUP(E24,'0_Dades generals organització'!$H$53:$L$300,3,FALSE)="","",VLOOKUP(E24,'0_Dades generals organització'!$H$53:$L$300,3,FALSE)))</f>
        <v/>
      </c>
      <c r="G24" s="416"/>
      <c r="H24" s="57" t="str">
        <f t="shared" si="1"/>
        <v/>
      </c>
      <c r="I24" s="432"/>
      <c r="J24" s="106">
        <f>SUM(I21:I26)</f>
        <v>0</v>
      </c>
    </row>
    <row r="25" spans="1:12" s="26" customFormat="1" ht="17.25" customHeight="1" x14ac:dyDescent="0.25">
      <c r="A25" s="17"/>
      <c r="B25" s="13"/>
      <c r="E25" s="415"/>
      <c r="F25" s="395" t="str">
        <f>IF(E25="","",IF(VLOOKUP(E25,'0_Dades generals organització'!$H$53:$L$300,3,FALSE)="","",VLOOKUP(E25,'0_Dades generals organització'!$H$53:$L$300,3,FALSE)))</f>
        <v/>
      </c>
      <c r="G25" s="416"/>
      <c r="H25" s="57" t="str">
        <f t="shared" si="1"/>
        <v/>
      </c>
      <c r="I25" s="432"/>
      <c r="J25" s="111"/>
      <c r="K25" s="111"/>
      <c r="L25" s="111"/>
    </row>
    <row r="26" spans="1:12" s="26" customFormat="1" ht="17.25" customHeight="1" x14ac:dyDescent="0.25">
      <c r="A26" s="17"/>
      <c r="B26" s="13"/>
      <c r="E26" s="415"/>
      <c r="F26" s="395" t="str">
        <f>IF(E26="","",IF(VLOOKUP(E26,'0_Dades generals organització'!$H$53:$L$300,3,FALSE)="","",VLOOKUP(E26,'0_Dades generals organització'!$H$53:$L$300,3,FALSE)))</f>
        <v/>
      </c>
      <c r="G26" s="416"/>
      <c r="H26" s="57" t="str">
        <f t="shared" si="1"/>
        <v/>
      </c>
      <c r="I26" s="432"/>
      <c r="J26" s="111"/>
      <c r="K26" s="111"/>
      <c r="L26" s="111"/>
    </row>
    <row r="27" spans="1:12" s="26" customFormat="1" ht="15.75" customHeight="1" x14ac:dyDescent="0.25">
      <c r="A27" s="17"/>
      <c r="B27" s="13"/>
    </row>
    <row r="28" spans="1:12" x14ac:dyDescent="0.3">
      <c r="A28" s="17"/>
    </row>
    <row r="29" spans="1:12" x14ac:dyDescent="0.3">
      <c r="A29" s="17"/>
      <c r="F29" s="2"/>
    </row>
    <row r="30" spans="1:12" x14ac:dyDescent="0.3">
      <c r="A30" s="17"/>
      <c r="F30" s="2"/>
    </row>
    <row r="31" spans="1:12" x14ac:dyDescent="0.3">
      <c r="A31" s="17"/>
      <c r="F31" s="2"/>
    </row>
    <row r="32" spans="1:12" x14ac:dyDescent="0.3">
      <c r="A32" s="17"/>
      <c r="F32" s="2"/>
    </row>
    <row r="33" spans="1:6" x14ac:dyDescent="0.3">
      <c r="A33" s="17"/>
      <c r="F33" s="2"/>
    </row>
    <row r="34" spans="1:6" x14ac:dyDescent="0.3">
      <c r="F34" s="2"/>
    </row>
    <row r="35" spans="1:6" x14ac:dyDescent="0.3">
      <c r="F35" s="2"/>
    </row>
    <row r="36" spans="1:6" x14ac:dyDescent="0.3">
      <c r="F36" s="2"/>
    </row>
    <row r="37" spans="1:6" x14ac:dyDescent="0.3">
      <c r="F37" s="2"/>
    </row>
    <row r="144" spans="4:12" x14ac:dyDescent="0.3">
      <c r="D144" s="93"/>
      <c r="E144" s="93"/>
      <c r="F144" s="93"/>
      <c r="G144" s="93"/>
      <c r="H144" s="93"/>
      <c r="I144" s="93"/>
      <c r="J144" s="93"/>
      <c r="K144" s="93"/>
      <c r="L144" s="93"/>
    </row>
    <row r="145" spans="4:12" x14ac:dyDescent="0.3">
      <c r="D145" s="93"/>
      <c r="E145" s="93"/>
      <c r="F145" s="93"/>
      <c r="G145" s="93"/>
      <c r="H145" s="93"/>
      <c r="I145" s="93"/>
      <c r="J145" s="93"/>
      <c r="K145" s="93"/>
      <c r="L145" s="93"/>
    </row>
  </sheetData>
  <sheetProtection sheet="1" objects="1" scenarios="1"/>
  <mergeCells count="20">
    <mergeCell ref="J22:J23"/>
    <mergeCell ref="I7:I9"/>
    <mergeCell ref="J11:J13"/>
    <mergeCell ref="E18:J18"/>
    <mergeCell ref="I19:I20"/>
    <mergeCell ref="J19:J20"/>
    <mergeCell ref="K18:K20"/>
    <mergeCell ref="E19:E20"/>
    <mergeCell ref="F19:F20"/>
    <mergeCell ref="G19:G20"/>
    <mergeCell ref="H19:H20"/>
    <mergeCell ref="C1:M1"/>
    <mergeCell ref="D3:L4"/>
    <mergeCell ref="K6:K9"/>
    <mergeCell ref="E7:E9"/>
    <mergeCell ref="F7:F9"/>
    <mergeCell ref="G7:G9"/>
    <mergeCell ref="H7:H9"/>
    <mergeCell ref="E6:J6"/>
    <mergeCell ref="J7:J9"/>
  </mergeCells>
  <conditionalFormatting sqref="D16">
    <cfRule type="expression" dxfId="30" priority="2">
      <formula>$D$10:$D$14="Biomásica"</formula>
    </cfRule>
  </conditionalFormatting>
  <dataValidations count="5">
    <dataValidation type="list" operator="equal" allowBlank="1" showInputMessage="1" showErrorMessage="1" sqref="D10:D14">
      <formula1>$E$11:$E$15</formula1>
      <formula2>0</formula2>
    </dataValidation>
    <dataValidation type="whole" operator="greaterThan" allowBlank="1" showInputMessage="1" showErrorMessage="1" sqref="I21:I26 I10:I14">
      <formula1>0</formula1>
      <formula2>0</formula2>
    </dataValidation>
    <dataValidation type="list" operator="equal" allowBlank="1" showInputMessage="1" showErrorMessage="1" sqref="G10:G14">
      <formula1>Tipo_ER</formula1>
      <formula2>0</formula2>
    </dataValidation>
    <dataValidation type="list" operator="equal" allowBlank="1" showInputMessage="1" showErrorMessage="1" sqref="D21:D26">
      <formula1>$E$22:$E$27</formula1>
      <formula2>0</formula2>
    </dataValidation>
    <dataValidation type="list" operator="equal" allowBlank="1" showInputMessage="1" showErrorMessage="1" sqref="G21:G26">
      <formula1>Tipo_Biomasa</formula1>
      <formula2>0</formula2>
    </dataValidation>
  </dataValidations>
  <hyperlinks>
    <hyperlink ref="A3" location="'0_Dades generals organització'!A1" display="0. Dades de la organització"/>
    <hyperlink ref="A5" location="'2_Fluorats'!A1" display="2. PC Abast 1: Fugues fluorats"/>
    <hyperlink ref="A4" location="'1_Combustibles fòssils'!A1" display="1. PC Abast 1: Comb. fòssils"/>
    <hyperlink ref="A6" location="'3_Emissions processos'!A1" display="3. PC Abast 1: Emissions procés"/>
    <hyperlink ref="A7" location="'4.1_Electricitat Illes Balears'!A1" display="4.1 PC 2: Electricitat I. Balears"/>
    <hyperlink ref="A8" location="'4.2_Electricitat Espanya'!A1" display="4.2 PC 2: Electricitat Espanya"/>
    <hyperlink ref="A10" location="'6.1_Resultats Illes Balears'!A1" display="6.1 Informe final: Resultats I. Balears"/>
    <hyperlink ref="A11" location="'6.2_Resultats Espanya'!A1" display="6.2 Informe final: Resultats Espanya"/>
  </hyperlinks>
  <pageMargins left="0.75" right="0.75" top="1" bottom="1" header="0.51180555555555496" footer="0.51180555555555496"/>
  <pageSetup paperSize="77" scale="48" firstPageNumber="0" orientation="landscape" horizontalDpi="300" verticalDpi="300"/>
  <drawing r:id="rId1"/>
  <extLst>
    <ext xmlns:x14="http://schemas.microsoft.com/office/spreadsheetml/2009/9/main" uri="{CCE6A557-97BC-4b89-ADB6-D9C93CAAB3DF}">
      <x14:dataValidations xmlns:xm="http://schemas.microsoft.com/office/excel/2006/main" count="1">
        <x14:dataValidation type="list" showInputMessage="1" showErrorMessage="1">
          <x14:formula1>
            <xm:f>'0_Dades generals organització'!$H$52:$H$302</xm:f>
          </x14:formula1>
          <xm:sqref>E10:E14 E21:E26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22"/>
  <sheetViews>
    <sheetView showRowColHeaders="0" zoomScaleNormal="100" workbookViewId="0">
      <pane xSplit="1" topLeftCell="B1" activePane="topRight" state="frozen"/>
      <selection activeCell="A52" sqref="A52"/>
      <selection pane="topRight" activeCell="C1" sqref="C1:U1"/>
    </sheetView>
  </sheetViews>
  <sheetFormatPr baseColWidth="10" defaultColWidth="9.140625" defaultRowHeight="16.5" x14ac:dyDescent="0.3"/>
  <cols>
    <col min="1" max="1" width="31.85546875" style="13" customWidth="1"/>
    <col min="2" max="2" width="1.85546875" style="13" customWidth="1"/>
    <col min="3" max="3" width="3.42578125" style="2" customWidth="1"/>
    <col min="4" max="4" width="1.28515625" style="2" customWidth="1"/>
    <col min="5" max="5" width="17.85546875" style="2" customWidth="1"/>
    <col min="6" max="6" width="14.140625" style="2" customWidth="1"/>
    <col min="7" max="7" width="13.7109375" style="105" customWidth="1"/>
    <col min="8" max="8" width="11" style="105" customWidth="1"/>
    <col min="9" max="9" width="8.7109375" style="105" customWidth="1"/>
    <col min="10" max="10" width="4" style="105" customWidth="1"/>
    <col min="11" max="11" width="5.140625" style="105" customWidth="1"/>
    <col min="12" max="12" width="2.5703125" style="105" customWidth="1"/>
    <col min="13" max="13" width="17.42578125" style="105" customWidth="1"/>
    <col min="14" max="14" width="7.140625" style="2" customWidth="1"/>
    <col min="15" max="15" width="19.5703125" style="2" customWidth="1"/>
    <col min="16" max="16" width="8.85546875" style="2" customWidth="1"/>
    <col min="17" max="17" width="8.28515625" style="2" customWidth="1"/>
    <col min="18" max="18" width="6.7109375" style="2" customWidth="1"/>
    <col min="19" max="20" width="4" style="2" customWidth="1"/>
    <col min="21" max="21" width="6.140625" style="2" customWidth="1"/>
    <col min="22" max="32" width="11.42578125" style="73"/>
    <col min="33" max="1025" width="11.42578125" style="2"/>
  </cols>
  <sheetData>
    <row r="1" spans="1:22" s="26" customFormat="1" ht="40.700000000000003" customHeight="1" x14ac:dyDescent="0.25">
      <c r="A1" s="13"/>
      <c r="B1" s="14"/>
      <c r="C1" s="444" t="s">
        <v>969</v>
      </c>
      <c r="D1" s="444"/>
      <c r="E1" s="444"/>
      <c r="F1" s="444"/>
      <c r="G1" s="444"/>
      <c r="H1" s="444"/>
      <c r="I1" s="444"/>
      <c r="J1" s="444"/>
      <c r="K1" s="444"/>
      <c r="L1" s="444"/>
      <c r="M1" s="444"/>
      <c r="N1" s="444"/>
      <c r="O1" s="444"/>
      <c r="P1" s="444"/>
      <c r="Q1" s="444"/>
      <c r="R1" s="444"/>
      <c r="S1" s="444"/>
      <c r="T1" s="444"/>
      <c r="U1" s="444"/>
    </row>
    <row r="2" spans="1:22" s="26" customFormat="1" ht="40.700000000000003" customHeight="1" x14ac:dyDescent="0.25">
      <c r="A2" s="13"/>
      <c r="B2" s="14"/>
      <c r="N2" s="27"/>
      <c r="O2" s="27"/>
      <c r="P2" s="27"/>
      <c r="Q2" s="27"/>
      <c r="R2" s="27"/>
      <c r="S2" s="27"/>
      <c r="T2" s="27"/>
    </row>
    <row r="3" spans="1:22" s="26" customFormat="1" ht="18" customHeight="1" x14ac:dyDescent="0.2">
      <c r="A3" s="17" t="s">
        <v>827</v>
      </c>
      <c r="B3" s="16"/>
      <c r="E3" s="521" t="s">
        <v>966</v>
      </c>
      <c r="F3" s="521"/>
      <c r="G3" s="522" t="str">
        <f>IF(ISTEXT(Dades!$E$519),Dades!$E$519,"")</f>
        <v/>
      </c>
      <c r="H3" s="522"/>
      <c r="I3" s="522"/>
      <c r="J3" s="522"/>
      <c r="K3" s="522"/>
      <c r="L3" s="522"/>
      <c r="M3" s="522"/>
      <c r="N3" s="522"/>
      <c r="O3" s="522"/>
      <c r="P3" s="522"/>
      <c r="Q3" s="522"/>
      <c r="R3" s="522"/>
      <c r="S3" s="522"/>
      <c r="T3" s="27"/>
    </row>
    <row r="4" spans="1:22" s="26" customFormat="1" ht="8.25" customHeight="1" x14ac:dyDescent="0.3">
      <c r="A4" s="523" t="s">
        <v>828</v>
      </c>
      <c r="B4" s="16"/>
      <c r="E4" s="113"/>
      <c r="F4" s="114"/>
      <c r="G4" s="46"/>
      <c r="H4" s="46"/>
      <c r="I4" s="46"/>
      <c r="J4" s="46"/>
      <c r="K4" s="46"/>
      <c r="L4" s="46"/>
      <c r="M4" s="46"/>
      <c r="N4" s="46"/>
      <c r="O4" s="46"/>
      <c r="P4" s="46"/>
      <c r="Q4" s="46"/>
      <c r="R4" s="46"/>
      <c r="S4" s="46"/>
      <c r="T4" s="27"/>
    </row>
    <row r="5" spans="1:22" s="26" customFormat="1" ht="8.25" customHeight="1" x14ac:dyDescent="0.2">
      <c r="A5" s="523"/>
      <c r="B5" s="16"/>
      <c r="E5" s="521" t="s">
        <v>967</v>
      </c>
      <c r="F5" s="521"/>
      <c r="G5" s="522" t="str">
        <f>IF(ISTEXT(Dades!$E$520),Dades!$E$520,"")</f>
        <v/>
      </c>
      <c r="H5" s="522"/>
      <c r="I5" s="522"/>
      <c r="J5" s="522"/>
      <c r="K5" s="522"/>
      <c r="L5" s="522"/>
      <c r="M5" s="522"/>
      <c r="N5" s="522"/>
      <c r="O5" s="522"/>
      <c r="P5" s="522"/>
      <c r="Q5" s="522"/>
      <c r="R5" s="522"/>
      <c r="S5" s="522"/>
      <c r="T5" s="27"/>
    </row>
    <row r="6" spans="1:22" s="26" customFormat="1" ht="8.25" customHeight="1" x14ac:dyDescent="0.2">
      <c r="A6" s="523" t="s">
        <v>829</v>
      </c>
      <c r="B6" s="16"/>
      <c r="E6" s="521"/>
      <c r="F6" s="521"/>
      <c r="G6" s="522"/>
      <c r="H6" s="522"/>
      <c r="I6" s="522"/>
      <c r="J6" s="522"/>
      <c r="K6" s="522"/>
      <c r="L6" s="522"/>
      <c r="M6" s="522"/>
      <c r="N6" s="522"/>
      <c r="O6" s="522"/>
      <c r="P6" s="522"/>
      <c r="Q6" s="522"/>
      <c r="R6" s="522"/>
      <c r="S6" s="522"/>
      <c r="T6" s="27"/>
    </row>
    <row r="7" spans="1:22" ht="8.25" customHeight="1" x14ac:dyDescent="0.3">
      <c r="A7" s="523"/>
      <c r="B7" s="16"/>
      <c r="E7" s="113"/>
      <c r="F7" s="114"/>
      <c r="G7" s="46"/>
      <c r="H7" s="46"/>
      <c r="I7" s="46"/>
      <c r="J7" s="46"/>
      <c r="K7" s="46"/>
      <c r="L7" s="46"/>
      <c r="M7" s="46"/>
      <c r="N7" s="46"/>
      <c r="O7" s="46"/>
      <c r="P7" s="46"/>
      <c r="Q7" s="46"/>
      <c r="R7" s="46"/>
      <c r="S7" s="46"/>
    </row>
    <row r="8" spans="1:22" ht="8.25" customHeight="1" x14ac:dyDescent="0.3">
      <c r="A8" s="523" t="s">
        <v>830</v>
      </c>
      <c r="D8" s="470" t="s">
        <v>968</v>
      </c>
      <c r="E8" s="470"/>
      <c r="F8" s="470"/>
      <c r="G8" s="470"/>
      <c r="H8" s="470"/>
      <c r="I8" s="470"/>
      <c r="J8" s="470"/>
      <c r="K8" s="470"/>
      <c r="L8" s="470"/>
      <c r="M8" s="470"/>
      <c r="N8" s="470"/>
      <c r="O8" s="470"/>
      <c r="P8" s="470"/>
      <c r="Q8" s="470"/>
      <c r="R8" s="470"/>
      <c r="S8" s="470"/>
      <c r="T8" s="470"/>
      <c r="U8" s="470"/>
    </row>
    <row r="9" spans="1:22" ht="8.25" customHeight="1" x14ac:dyDescent="0.3">
      <c r="A9" s="523"/>
      <c r="D9" s="470"/>
      <c r="E9" s="470"/>
      <c r="F9" s="470"/>
      <c r="G9" s="470"/>
      <c r="H9" s="470"/>
      <c r="I9" s="470"/>
      <c r="J9" s="470"/>
      <c r="K9" s="470"/>
      <c r="L9" s="470"/>
      <c r="M9" s="470"/>
      <c r="N9" s="470"/>
      <c r="O9" s="470"/>
      <c r="P9" s="470"/>
      <c r="Q9" s="470"/>
      <c r="R9" s="470"/>
      <c r="S9" s="470"/>
      <c r="T9" s="470"/>
      <c r="U9" s="470"/>
    </row>
    <row r="10" spans="1:22" ht="8.25" customHeight="1" x14ac:dyDescent="0.3">
      <c r="A10" s="523" t="s">
        <v>831</v>
      </c>
      <c r="G10" s="2"/>
      <c r="H10" s="2"/>
      <c r="I10" s="2"/>
      <c r="J10" s="2"/>
      <c r="K10" s="2"/>
      <c r="L10" s="2"/>
      <c r="M10" s="2"/>
    </row>
    <row r="11" spans="1:22" ht="8.25" customHeight="1" x14ac:dyDescent="0.3">
      <c r="A11" s="523"/>
      <c r="E11" s="524" t="s">
        <v>1019</v>
      </c>
      <c r="F11" s="524"/>
      <c r="G11" s="524"/>
      <c r="H11" s="524"/>
      <c r="I11" s="524"/>
      <c r="J11" s="524"/>
      <c r="K11" s="524"/>
      <c r="L11" s="524"/>
      <c r="M11" s="524"/>
      <c r="N11" s="115"/>
      <c r="O11" s="115"/>
      <c r="P11" s="115"/>
      <c r="Q11" s="115"/>
      <c r="R11" s="115"/>
      <c r="S11" s="115"/>
      <c r="T11" s="115"/>
      <c r="U11" s="115"/>
      <c r="V11" s="115"/>
    </row>
    <row r="12" spans="1:22" ht="8.25" customHeight="1" x14ac:dyDescent="0.3">
      <c r="A12" s="523" t="s">
        <v>832</v>
      </c>
      <c r="E12" s="524"/>
      <c r="F12" s="524"/>
      <c r="G12" s="524"/>
      <c r="H12" s="524"/>
      <c r="I12" s="524"/>
      <c r="J12" s="524"/>
      <c r="K12" s="524"/>
      <c r="L12" s="524"/>
      <c r="M12" s="524"/>
      <c r="N12" s="115"/>
      <c r="O12" s="115"/>
      <c r="P12" s="115"/>
      <c r="Q12" s="115"/>
      <c r="R12" s="115"/>
      <c r="S12" s="115"/>
      <c r="T12" s="115"/>
      <c r="U12" s="115"/>
      <c r="V12" s="115"/>
    </row>
    <row r="13" spans="1:22" ht="7.5" customHeight="1" x14ac:dyDescent="0.3">
      <c r="A13" s="523"/>
      <c r="E13" s="46"/>
      <c r="F13" s="46"/>
      <c r="G13" s="46"/>
      <c r="H13" s="46"/>
      <c r="I13" s="46"/>
      <c r="J13" s="46"/>
      <c r="K13" s="46"/>
      <c r="L13" s="46"/>
      <c r="M13" s="46"/>
      <c r="N13" s="46"/>
      <c r="O13" s="46"/>
      <c r="P13" s="46"/>
      <c r="Q13" s="46"/>
      <c r="R13" s="46"/>
      <c r="S13" s="46"/>
    </row>
    <row r="14" spans="1:22" ht="16.5" customHeight="1" x14ac:dyDescent="0.3">
      <c r="A14" s="17" t="s">
        <v>833</v>
      </c>
      <c r="E14" s="525" t="s">
        <v>970</v>
      </c>
      <c r="F14" s="525"/>
      <c r="G14" s="116">
        <f>IF(ISNUMBER('0_Dades generals organització'!G3),'0_Dades generals organització'!G3,"")</f>
        <v>2020</v>
      </c>
      <c r="H14" s="46"/>
      <c r="I14" s="46"/>
      <c r="J14" s="46"/>
      <c r="K14" s="46"/>
      <c r="L14" s="117"/>
      <c r="M14" s="118"/>
      <c r="N14" s="46"/>
      <c r="O14" s="46"/>
      <c r="P14" s="46"/>
      <c r="Q14" s="46"/>
      <c r="R14" s="46"/>
      <c r="S14" s="46"/>
    </row>
    <row r="15" spans="1:22" ht="16.5" customHeight="1" x14ac:dyDescent="0.3">
      <c r="A15" s="15" t="s">
        <v>834</v>
      </c>
      <c r="E15" s="26"/>
      <c r="F15" s="26"/>
      <c r="G15" s="26"/>
      <c r="H15" s="26"/>
      <c r="I15" s="26"/>
      <c r="J15" s="26"/>
      <c r="K15" s="26"/>
      <c r="L15" s="117"/>
      <c r="M15" s="118"/>
      <c r="N15" s="46"/>
      <c r="O15" s="46"/>
      <c r="P15" s="46"/>
      <c r="Q15" s="46"/>
      <c r="R15" s="46"/>
      <c r="S15" s="46"/>
    </row>
    <row r="16" spans="1:22" ht="16.5" customHeight="1" x14ac:dyDescent="0.3">
      <c r="A16" s="17" t="s">
        <v>835</v>
      </c>
      <c r="E16" s="509" t="s">
        <v>971</v>
      </c>
      <c r="F16" s="509"/>
      <c r="G16" s="509"/>
      <c r="H16" s="517">
        <f>ROUND((H27/1000),2)</f>
        <v>0</v>
      </c>
      <c r="I16" s="517"/>
      <c r="J16" s="516" t="s">
        <v>32</v>
      </c>
      <c r="K16" s="516"/>
      <c r="L16" s="117"/>
      <c r="M16" s="118"/>
      <c r="N16" s="46"/>
      <c r="O16" s="46"/>
      <c r="P16" s="46"/>
      <c r="Q16" s="46"/>
      <c r="R16" s="46"/>
      <c r="S16" s="46"/>
    </row>
    <row r="17" spans="1:21" ht="16.5" customHeight="1" x14ac:dyDescent="0.3">
      <c r="A17" s="523"/>
      <c r="E17" s="509" t="s">
        <v>972</v>
      </c>
      <c r="F17" s="509"/>
      <c r="G17" s="509"/>
      <c r="H17" s="517">
        <f>ROUND((H29/1000),2)</f>
        <v>0</v>
      </c>
      <c r="I17" s="517"/>
      <c r="J17" s="516" t="s">
        <v>32</v>
      </c>
      <c r="K17" s="516"/>
      <c r="L17" s="117"/>
      <c r="M17" s="118"/>
      <c r="N17" s="46"/>
      <c r="O17" s="46"/>
      <c r="P17" s="46"/>
      <c r="Q17" s="46"/>
      <c r="R17" s="46"/>
      <c r="S17" s="46"/>
    </row>
    <row r="18" spans="1:21" ht="3" customHeight="1" x14ac:dyDescent="0.3">
      <c r="A18" s="523"/>
      <c r="E18" s="46"/>
      <c r="F18" s="46"/>
      <c r="G18" s="46"/>
      <c r="H18" s="119"/>
      <c r="I18" s="119"/>
      <c r="J18" s="46"/>
      <c r="K18" s="46"/>
      <c r="L18" s="117"/>
      <c r="M18" s="120"/>
      <c r="N18" s="46"/>
      <c r="O18" s="46"/>
      <c r="P18" s="46"/>
      <c r="Q18" s="46"/>
      <c r="R18" s="46"/>
      <c r="S18" s="46"/>
    </row>
    <row r="19" spans="1:21" ht="15.75" customHeight="1" x14ac:dyDescent="0.3">
      <c r="A19" s="17"/>
      <c r="E19" s="509" t="s">
        <v>973</v>
      </c>
      <c r="F19" s="509"/>
      <c r="G19" s="509"/>
      <c r="H19" s="510">
        <f>ROUND((H31/1000),2)</f>
        <v>0</v>
      </c>
      <c r="I19" s="510"/>
      <c r="J19" s="511" t="s">
        <v>34</v>
      </c>
      <c r="K19" s="511"/>
      <c r="L19" s="117"/>
      <c r="M19" s="118"/>
      <c r="N19" s="46"/>
      <c r="O19" s="46"/>
      <c r="P19" s="46"/>
      <c r="Q19" s="46"/>
      <c r="R19" s="46"/>
      <c r="S19" s="46"/>
    </row>
    <row r="20" spans="1:21" ht="15.75" customHeight="1" x14ac:dyDescent="0.3">
      <c r="A20" s="18"/>
      <c r="E20" s="26"/>
      <c r="F20" s="26"/>
      <c r="G20" s="26"/>
      <c r="H20" s="26"/>
      <c r="I20" s="26"/>
      <c r="J20" s="26"/>
      <c r="K20" s="26"/>
      <c r="L20" s="117"/>
      <c r="M20" s="120"/>
      <c r="N20" s="46"/>
      <c r="O20" s="46"/>
      <c r="P20" s="46"/>
      <c r="Q20" s="46"/>
      <c r="R20" s="46"/>
      <c r="S20" s="46"/>
    </row>
    <row r="21" spans="1:21" ht="15.75" customHeight="1" x14ac:dyDescent="0.3">
      <c r="A21" s="17"/>
      <c r="E21" s="512" t="s">
        <v>974</v>
      </c>
      <c r="F21" s="512"/>
      <c r="G21" s="512"/>
      <c r="H21" s="512"/>
      <c r="I21" s="512"/>
      <c r="J21" s="512"/>
      <c r="K21" s="512"/>
      <c r="L21" s="512"/>
      <c r="M21" s="120"/>
      <c r="N21" s="46"/>
      <c r="O21" s="46"/>
      <c r="P21" s="46"/>
      <c r="Q21" s="46"/>
      <c r="R21" s="46"/>
      <c r="S21" s="46"/>
    </row>
    <row r="22" spans="1:21" s="26" customFormat="1" ht="6" customHeight="1" x14ac:dyDescent="0.25">
      <c r="A22" s="17"/>
      <c r="B22" s="13"/>
      <c r="E22" s="121"/>
      <c r="F22" s="121"/>
      <c r="G22" s="121"/>
      <c r="H22" s="121"/>
      <c r="I22" s="121"/>
      <c r="J22" s="121"/>
      <c r="K22" s="121"/>
      <c r="L22" s="121"/>
      <c r="M22" s="122"/>
      <c r="N22" s="46"/>
      <c r="O22" s="46"/>
      <c r="P22" s="46"/>
      <c r="Q22" s="46"/>
      <c r="R22" s="46"/>
      <c r="S22" s="46"/>
    </row>
    <row r="23" spans="1:21" s="26" customFormat="1" ht="15.75" customHeight="1" x14ac:dyDescent="0.25">
      <c r="A23" s="17"/>
      <c r="B23" s="13"/>
      <c r="E23" s="513" t="s">
        <v>971</v>
      </c>
      <c r="F23" s="514" t="s">
        <v>979</v>
      </c>
      <c r="G23" s="514"/>
      <c r="H23" s="515">
        <f>'1_Combustibles fòssils'!O18</f>
        <v>0</v>
      </c>
      <c r="I23" s="515"/>
      <c r="J23" s="516" t="s">
        <v>747</v>
      </c>
      <c r="K23" s="516"/>
      <c r="L23" s="46"/>
      <c r="M23" s="46"/>
      <c r="N23" s="46"/>
      <c r="O23" s="46"/>
      <c r="P23" s="46"/>
      <c r="Q23" s="46"/>
      <c r="R23" s="46"/>
      <c r="S23" s="46"/>
    </row>
    <row r="24" spans="1:21" s="26" customFormat="1" ht="15.75" customHeight="1" x14ac:dyDescent="0.25">
      <c r="A24" s="17"/>
      <c r="B24" s="13"/>
      <c r="E24" s="513"/>
      <c r="F24" s="514" t="s">
        <v>977</v>
      </c>
      <c r="G24" s="514"/>
      <c r="H24" s="515">
        <f>'1_Combustibles fòssils'!V48</f>
        <v>0</v>
      </c>
      <c r="I24" s="515"/>
      <c r="J24" s="516" t="s">
        <v>747</v>
      </c>
      <c r="K24" s="516"/>
    </row>
    <row r="25" spans="1:21" s="26" customFormat="1" ht="15.75" customHeight="1" x14ac:dyDescent="0.25">
      <c r="A25" s="17"/>
      <c r="B25" s="13"/>
      <c r="E25" s="513"/>
      <c r="F25" s="514" t="s">
        <v>990</v>
      </c>
      <c r="G25" s="514"/>
      <c r="H25" s="515">
        <f>'2_Fluorats'!Q12</f>
        <v>0</v>
      </c>
      <c r="I25" s="515"/>
      <c r="J25" s="516" t="s">
        <v>36</v>
      </c>
      <c r="K25" s="516"/>
      <c r="L25" s="123"/>
      <c r="M25" s="123"/>
      <c r="N25" s="123"/>
      <c r="O25" s="123"/>
      <c r="P25" s="123"/>
      <c r="Q25" s="123"/>
      <c r="R25" s="123"/>
      <c r="S25" s="123"/>
      <c r="T25" s="123"/>
      <c r="U25" s="123"/>
    </row>
    <row r="26" spans="1:21" s="26" customFormat="1" ht="15.75" customHeight="1" x14ac:dyDescent="0.25">
      <c r="A26" s="17"/>
      <c r="B26" s="13"/>
      <c r="E26" s="513"/>
      <c r="F26" s="514" t="s">
        <v>978</v>
      </c>
      <c r="G26" s="514"/>
      <c r="H26" s="515">
        <f>'3_Emissions processos'!M14</f>
        <v>0</v>
      </c>
      <c r="I26" s="515"/>
      <c r="J26" s="516" t="s">
        <v>36</v>
      </c>
      <c r="K26" s="516"/>
      <c r="L26" s="123"/>
      <c r="M26" s="123"/>
      <c r="N26" s="123"/>
      <c r="O26" s="123"/>
      <c r="P26" s="123"/>
      <c r="Q26" s="123"/>
      <c r="R26" s="123"/>
      <c r="S26" s="123"/>
      <c r="T26" s="123"/>
      <c r="U26" s="123"/>
    </row>
    <row r="27" spans="1:21" s="26" customFormat="1" ht="15.75" customHeight="1" x14ac:dyDescent="0.25">
      <c r="A27" s="17"/>
      <c r="B27" s="13"/>
      <c r="E27" s="514" t="s">
        <v>975</v>
      </c>
      <c r="F27" s="514"/>
      <c r="G27" s="514"/>
      <c r="H27" s="517">
        <f>ROUND(SUM(H23:I26),2)</f>
        <v>0</v>
      </c>
      <c r="I27" s="517"/>
      <c r="J27" s="518" t="s">
        <v>37</v>
      </c>
      <c r="K27" s="518"/>
      <c r="M27" s="118"/>
      <c r="N27" s="46"/>
      <c r="O27" s="46"/>
      <c r="P27" s="46"/>
      <c r="Q27" s="46"/>
      <c r="R27" s="46"/>
      <c r="S27" s="46"/>
    </row>
    <row r="28" spans="1:21" s="26" customFormat="1" ht="3" customHeight="1" x14ac:dyDescent="0.25">
      <c r="A28" s="17"/>
      <c r="B28" s="13"/>
      <c r="E28" s="124"/>
      <c r="F28" s="125"/>
      <c r="G28" s="125"/>
      <c r="H28" s="126"/>
      <c r="I28" s="126"/>
      <c r="J28" s="127"/>
      <c r="K28" s="127"/>
      <c r="M28" s="118"/>
      <c r="N28" s="46"/>
      <c r="O28" s="46"/>
      <c r="P28" s="46"/>
      <c r="Q28" s="46"/>
      <c r="R28" s="46"/>
      <c r="S28" s="46"/>
    </row>
    <row r="29" spans="1:21" ht="16.5" customHeight="1" x14ac:dyDescent="0.3">
      <c r="A29" s="17"/>
      <c r="E29" s="128" t="s">
        <v>972</v>
      </c>
      <c r="F29" s="514" t="s">
        <v>976</v>
      </c>
      <c r="G29" s="514"/>
      <c r="H29" s="517">
        <f>'4.1_Electricitat Illes Balears'!K21+'4.1_Electricitat Illes Balears'!L51</f>
        <v>0</v>
      </c>
      <c r="I29" s="517"/>
      <c r="J29" s="516" t="s">
        <v>747</v>
      </c>
      <c r="K29" s="516"/>
      <c r="L29" s="26"/>
      <c r="M29" s="118"/>
      <c r="N29" s="46"/>
      <c r="O29" s="46"/>
      <c r="P29" s="46"/>
      <c r="Q29" s="46"/>
      <c r="R29" s="46"/>
      <c r="S29" s="46"/>
    </row>
    <row r="30" spans="1:21" ht="3" customHeight="1" x14ac:dyDescent="0.3">
      <c r="A30" s="17"/>
      <c r="E30" s="46"/>
      <c r="F30" s="46"/>
      <c r="G30" s="46"/>
      <c r="H30" s="119"/>
      <c r="I30" s="119"/>
      <c r="J30" s="46"/>
      <c r="K30" s="46"/>
      <c r="L30" s="26"/>
      <c r="M30" s="118"/>
      <c r="N30" s="46"/>
      <c r="O30" s="46"/>
      <c r="P30" s="46"/>
      <c r="Q30" s="46"/>
      <c r="R30" s="46"/>
      <c r="S30" s="46"/>
    </row>
    <row r="31" spans="1:21" ht="16.5" customHeight="1" x14ac:dyDescent="0.3">
      <c r="A31" s="47"/>
      <c r="E31" s="519" t="s">
        <v>973</v>
      </c>
      <c r="F31" s="519"/>
      <c r="G31" s="519"/>
      <c r="H31" s="520">
        <f>IF(ISNUMBER(SUM(H27+H29)),ROUND(SUM(H27+H29),2),"")</f>
        <v>0</v>
      </c>
      <c r="I31" s="520"/>
      <c r="J31" s="526" t="s">
        <v>37</v>
      </c>
      <c r="K31" s="526"/>
      <c r="L31" s="26"/>
      <c r="M31" s="118"/>
      <c r="N31" s="46"/>
      <c r="O31" s="46"/>
      <c r="P31" s="46"/>
      <c r="Q31" s="46"/>
      <c r="R31" s="46"/>
      <c r="S31" s="46"/>
    </row>
    <row r="32" spans="1:21" s="26" customFormat="1" ht="16.5" customHeight="1" x14ac:dyDescent="0.25">
      <c r="A32" s="47"/>
      <c r="B32" s="13"/>
      <c r="E32" s="527" t="s">
        <v>980</v>
      </c>
      <c r="F32" s="527"/>
      <c r="G32" s="527"/>
      <c r="H32" s="527"/>
      <c r="I32" s="527"/>
      <c r="J32" s="527"/>
      <c r="K32" s="527"/>
      <c r="M32" s="118"/>
      <c r="N32" s="46"/>
      <c r="O32" s="46"/>
      <c r="P32" s="46"/>
      <c r="Q32" s="46"/>
      <c r="R32" s="46"/>
      <c r="S32" s="46"/>
    </row>
    <row r="33" spans="1:21" s="26" customFormat="1" ht="11.25" customHeight="1" x14ac:dyDescent="0.25">
      <c r="A33" s="47"/>
      <c r="B33" s="13"/>
      <c r="E33" s="129"/>
      <c r="F33" s="129"/>
      <c r="G33" s="129"/>
      <c r="H33" s="129"/>
      <c r="I33" s="129"/>
      <c r="J33" s="129"/>
      <c r="K33" s="129"/>
      <c r="L33" s="46"/>
      <c r="M33" s="46"/>
      <c r="N33" s="46"/>
      <c r="O33" s="46"/>
      <c r="P33" s="46"/>
      <c r="Q33" s="46"/>
      <c r="R33" s="46"/>
      <c r="S33" s="46"/>
    </row>
    <row r="34" spans="1:21" s="26" customFormat="1" ht="17.25" customHeight="1" x14ac:dyDescent="0.25">
      <c r="A34" s="47"/>
      <c r="B34" s="13"/>
      <c r="D34" s="470" t="s">
        <v>981</v>
      </c>
      <c r="E34" s="470"/>
      <c r="F34" s="470"/>
      <c r="G34" s="470"/>
      <c r="H34" s="470"/>
      <c r="I34" s="470"/>
      <c r="J34" s="470"/>
      <c r="K34" s="470"/>
      <c r="L34" s="470"/>
      <c r="M34" s="470"/>
      <c r="N34" s="470"/>
      <c r="O34" s="470"/>
      <c r="P34" s="470"/>
      <c r="Q34" s="470"/>
      <c r="R34" s="470"/>
      <c r="S34" s="470"/>
      <c r="T34" s="470"/>
      <c r="U34" s="470"/>
    </row>
    <row r="35" spans="1:21" s="26" customFormat="1" ht="9" customHeight="1" x14ac:dyDescent="0.25">
      <c r="A35" s="47"/>
      <c r="B35" s="13"/>
      <c r="E35" s="46"/>
      <c r="F35" s="46"/>
      <c r="G35" s="46"/>
      <c r="H35" s="46"/>
      <c r="I35" s="46"/>
      <c r="J35" s="46"/>
      <c r="K35" s="46"/>
      <c r="L35" s="46"/>
      <c r="M35" s="46"/>
      <c r="N35" s="46"/>
      <c r="O35" s="46"/>
      <c r="P35" s="46"/>
      <c r="Q35" s="46"/>
      <c r="R35" s="46"/>
      <c r="S35" s="46"/>
    </row>
    <row r="36" spans="1:21" s="26" customFormat="1" ht="4.5" customHeight="1" x14ac:dyDescent="0.3">
      <c r="A36" s="47"/>
      <c r="B36" s="13"/>
      <c r="E36" s="130"/>
      <c r="F36" s="131"/>
      <c r="G36" s="131"/>
      <c r="H36" s="132"/>
      <c r="I36" s="132"/>
      <c r="J36" s="133"/>
      <c r="K36" s="134"/>
      <c r="L36" s="2"/>
      <c r="M36" s="2"/>
      <c r="N36" s="46"/>
      <c r="O36" s="46"/>
      <c r="P36" s="46"/>
      <c r="Q36" s="46"/>
      <c r="R36" s="46"/>
      <c r="S36" s="46"/>
    </row>
    <row r="37" spans="1:21" ht="18" customHeight="1" x14ac:dyDescent="0.3">
      <c r="A37" s="47"/>
      <c r="E37" s="135"/>
      <c r="F37" s="136"/>
      <c r="G37" s="137" t="str">
        <f>IF(ISNUMBER(Dades!AP663),Dades!AP663,"")</f>
        <v/>
      </c>
      <c r="H37" s="138" t="s">
        <v>38</v>
      </c>
      <c r="I37" s="139" t="str">
        <f>IF(ISTEXT('0_Dades generals organització'!L27),'0_Dades generals organització'!L27,"")</f>
        <v>Unitats</v>
      </c>
      <c r="J37" s="140"/>
      <c r="K37" s="134"/>
      <c r="L37" s="2"/>
      <c r="M37" s="2"/>
      <c r="N37" s="46"/>
      <c r="O37" s="46"/>
      <c r="P37" s="46"/>
      <c r="Q37" s="46"/>
      <c r="R37" s="46"/>
      <c r="S37" s="46"/>
    </row>
    <row r="38" spans="1:21" ht="4.5" customHeight="1" x14ac:dyDescent="0.3">
      <c r="A38" s="47"/>
      <c r="E38" s="528" t="s">
        <v>982</v>
      </c>
      <c r="F38" s="136"/>
      <c r="G38" s="141"/>
      <c r="H38" s="142"/>
      <c r="I38" s="143"/>
      <c r="J38" s="140"/>
      <c r="K38" s="134"/>
      <c r="L38" s="2"/>
      <c r="M38" s="2"/>
      <c r="N38" s="46"/>
      <c r="O38" s="46"/>
      <c r="Q38" s="46"/>
      <c r="R38" s="46"/>
      <c r="S38" s="46"/>
    </row>
    <row r="39" spans="1:21" ht="18" customHeight="1" x14ac:dyDescent="0.3">
      <c r="A39" s="22"/>
      <c r="E39" s="528"/>
      <c r="F39" s="144">
        <f>IF(ISNUMBER(Dades!$G$544),Dades!$G$526,"")</f>
        <v>2020</v>
      </c>
      <c r="G39" s="137" t="str">
        <f>IF(ISNUMBER(Dades!AP664),Dades!AP664,"")</f>
        <v/>
      </c>
      <c r="H39" s="138" t="s">
        <v>39</v>
      </c>
      <c r="I39" s="145" t="s">
        <v>40</v>
      </c>
      <c r="J39" s="146"/>
      <c r="K39" s="134"/>
      <c r="L39" s="2"/>
      <c r="M39" s="2"/>
      <c r="N39" s="46"/>
      <c r="O39" s="46"/>
      <c r="P39" s="46"/>
      <c r="Q39" s="46"/>
      <c r="R39" s="46"/>
      <c r="S39" s="46"/>
    </row>
    <row r="40" spans="1:21" ht="4.5" customHeight="1" x14ac:dyDescent="0.3">
      <c r="A40" s="22"/>
      <c r="E40" s="528"/>
      <c r="F40" s="147"/>
      <c r="G40" s="148"/>
      <c r="H40" s="149"/>
      <c r="I40" s="150"/>
      <c r="J40" s="151"/>
      <c r="K40" s="134"/>
      <c r="L40" s="2"/>
      <c r="M40" s="2"/>
    </row>
    <row r="41" spans="1:21" ht="18" customHeight="1" x14ac:dyDescent="0.3">
      <c r="A41" s="22"/>
      <c r="E41" s="135"/>
      <c r="F41" s="152"/>
      <c r="G41" s="137" t="str">
        <f>IF(ISNUMBER(Dades!AP665),Dades!AP665,"")</f>
        <v/>
      </c>
      <c r="H41" s="138" t="s">
        <v>39</v>
      </c>
      <c r="I41" s="139" t="s">
        <v>986</v>
      </c>
      <c r="J41" s="146"/>
      <c r="K41" s="134"/>
      <c r="L41" s="2"/>
      <c r="M41" s="2"/>
    </row>
    <row r="42" spans="1:21" ht="4.5" customHeight="1" x14ac:dyDescent="0.3">
      <c r="A42" s="22"/>
      <c r="E42" s="153"/>
      <c r="F42" s="154"/>
      <c r="G42" s="155"/>
      <c r="H42" s="156"/>
      <c r="I42" s="156"/>
      <c r="J42" s="157"/>
      <c r="K42" s="134"/>
      <c r="L42" s="2"/>
      <c r="M42" s="2"/>
    </row>
    <row r="43" spans="1:21" ht="12.95" customHeight="1" x14ac:dyDescent="0.3">
      <c r="A43" s="22"/>
      <c r="F43" s="158"/>
      <c r="G43" s="159"/>
      <c r="H43" s="134"/>
      <c r="I43" s="134"/>
      <c r="J43" s="134"/>
      <c r="K43" s="134"/>
      <c r="L43" s="41"/>
      <c r="M43" s="41"/>
    </row>
    <row r="44" spans="1:21" ht="4.5" customHeight="1" x14ac:dyDescent="0.3">
      <c r="E44" s="160"/>
      <c r="F44" s="161"/>
      <c r="G44" s="162"/>
      <c r="H44" s="163"/>
      <c r="I44" s="164"/>
      <c r="J44" s="165"/>
      <c r="K44" s="134"/>
      <c r="L44" s="2"/>
      <c r="M44" s="2"/>
    </row>
    <row r="45" spans="1:21" ht="18" customHeight="1" x14ac:dyDescent="0.3">
      <c r="A45" s="26"/>
      <c r="B45" s="26"/>
      <c r="E45" s="166"/>
      <c r="F45" s="167"/>
      <c r="G45" s="137" t="str">
        <f>IF(ISNUMBER(Dades!AM663),Dades!AM663,"")</f>
        <v/>
      </c>
      <c r="H45" s="168" t="s">
        <v>41</v>
      </c>
      <c r="I45" s="169" t="str">
        <f>IF(ISTEXT(I37),I37,"")</f>
        <v>Unitats</v>
      </c>
      <c r="J45" s="170"/>
      <c r="K45" s="134"/>
      <c r="L45" s="2"/>
      <c r="M45" s="2"/>
    </row>
    <row r="46" spans="1:21" ht="4.5" customHeight="1" x14ac:dyDescent="0.3">
      <c r="A46" s="26"/>
      <c r="B46" s="26"/>
      <c r="E46" s="171"/>
      <c r="F46" s="167"/>
      <c r="G46" s="172"/>
      <c r="H46" s="173"/>
      <c r="I46" s="174"/>
      <c r="J46" s="170"/>
      <c r="K46" s="134"/>
      <c r="L46" s="2"/>
      <c r="M46" s="2"/>
    </row>
    <row r="47" spans="1:21" ht="18" customHeight="1" x14ac:dyDescent="0.3">
      <c r="A47" s="26"/>
      <c r="B47" s="26"/>
      <c r="E47" s="175" t="s">
        <v>983</v>
      </c>
      <c r="F47" s="176" t="str">
        <f>IF(ISNUMBER(Dades!$D$544),Dades!$D$544,"")</f>
        <v/>
      </c>
      <c r="G47" s="137" t="str">
        <f>IF(ISNUMBER(Dades!AM664),Dades!AM664,"")</f>
        <v/>
      </c>
      <c r="H47" s="168" t="s">
        <v>41</v>
      </c>
      <c r="I47" s="177" t="s">
        <v>42</v>
      </c>
      <c r="J47" s="178"/>
      <c r="K47" s="134"/>
      <c r="L47" s="2"/>
      <c r="M47" s="2"/>
    </row>
    <row r="48" spans="1:21" ht="4.5" customHeight="1" x14ac:dyDescent="0.3">
      <c r="A48" s="26"/>
      <c r="B48" s="26"/>
      <c r="E48" s="179"/>
      <c r="F48" s="180"/>
      <c r="G48" s="181"/>
      <c r="H48" s="168"/>
      <c r="I48" s="174"/>
      <c r="J48" s="170"/>
      <c r="K48" s="134"/>
      <c r="L48" s="2"/>
      <c r="M48" s="2"/>
    </row>
    <row r="49" spans="1:21" ht="18" customHeight="1" x14ac:dyDescent="0.3">
      <c r="A49" s="26"/>
      <c r="B49" s="26"/>
      <c r="E49" s="166"/>
      <c r="F49" s="182"/>
      <c r="G49" s="137" t="str">
        <f>IF(ISNUMBER(Dades!AM665),Dades!AM665,"")</f>
        <v/>
      </c>
      <c r="H49" s="168" t="s">
        <v>41</v>
      </c>
      <c r="I49" s="169" t="s">
        <v>986</v>
      </c>
      <c r="J49" s="178"/>
      <c r="K49" s="134"/>
      <c r="L49" s="2"/>
      <c r="M49" s="2"/>
    </row>
    <row r="50" spans="1:21" ht="4.5" customHeight="1" x14ac:dyDescent="0.3">
      <c r="A50" s="26"/>
      <c r="B50" s="26"/>
      <c r="E50" s="183"/>
      <c r="F50" s="184"/>
      <c r="G50" s="185"/>
      <c r="H50" s="186"/>
      <c r="I50" s="186"/>
      <c r="J50" s="187"/>
      <c r="K50" s="134"/>
      <c r="L50" s="2"/>
      <c r="M50" s="2"/>
    </row>
    <row r="51" spans="1:21" s="73" customFormat="1" ht="12.95" customHeight="1" x14ac:dyDescent="0.3">
      <c r="A51" s="13"/>
      <c r="B51" s="13"/>
      <c r="C51" s="2"/>
      <c r="D51" s="2"/>
      <c r="E51" s="2"/>
      <c r="F51" s="158"/>
      <c r="G51" s="188"/>
      <c r="H51" s="105"/>
      <c r="I51" s="105"/>
      <c r="J51" s="105"/>
      <c r="K51" s="105"/>
      <c r="L51" s="2"/>
      <c r="M51" s="2"/>
      <c r="N51" s="2"/>
      <c r="O51" s="2"/>
      <c r="P51" s="2"/>
      <c r="Q51" s="2"/>
      <c r="R51" s="2"/>
      <c r="S51" s="2"/>
      <c r="T51" s="2"/>
      <c r="U51" s="2"/>
    </row>
    <row r="52" spans="1:21" s="73" customFormat="1" ht="4.5" customHeight="1" x14ac:dyDescent="0.3">
      <c r="A52" s="13"/>
      <c r="B52" s="13"/>
      <c r="C52" s="2"/>
      <c r="D52" s="2"/>
      <c r="E52" s="160"/>
      <c r="F52" s="161"/>
      <c r="G52" s="162"/>
      <c r="H52" s="164"/>
      <c r="I52" s="164"/>
      <c r="J52" s="165"/>
      <c r="K52" s="134"/>
      <c r="L52" s="2"/>
      <c r="M52" s="2"/>
      <c r="N52" s="2"/>
      <c r="O52" s="2"/>
      <c r="P52" s="2"/>
      <c r="Q52" s="2"/>
      <c r="R52" s="2"/>
      <c r="S52" s="2"/>
      <c r="T52" s="2"/>
      <c r="U52" s="2"/>
    </row>
    <row r="53" spans="1:21" s="73" customFormat="1" ht="18" customHeight="1" x14ac:dyDescent="0.3">
      <c r="A53" s="13"/>
      <c r="B53" s="13"/>
      <c r="C53" s="2"/>
      <c r="D53" s="2"/>
      <c r="E53" s="166"/>
      <c r="F53" s="167"/>
      <c r="G53" s="137" t="str">
        <f>IF(ISNUMBER(Dades!AN663),Dades!AN663,"")</f>
        <v/>
      </c>
      <c r="H53" s="168" t="s">
        <v>41</v>
      </c>
      <c r="I53" s="169" t="str">
        <f>IF(ISTEXT(I37),I37,"")</f>
        <v>Unitats</v>
      </c>
      <c r="J53" s="170"/>
      <c r="K53" s="134"/>
      <c r="L53" s="2"/>
      <c r="M53" s="2"/>
      <c r="N53" s="2"/>
      <c r="O53" s="2"/>
      <c r="P53" s="2"/>
      <c r="Q53" s="2"/>
      <c r="R53" s="189"/>
      <c r="S53" s="2"/>
      <c r="T53" s="2"/>
      <c r="U53" s="2"/>
    </row>
    <row r="54" spans="1:21" s="73" customFormat="1" ht="4.5" customHeight="1" x14ac:dyDescent="0.3">
      <c r="A54" s="13"/>
      <c r="B54" s="13"/>
      <c r="C54" s="2"/>
      <c r="D54" s="2"/>
      <c r="E54" s="171"/>
      <c r="F54" s="167"/>
      <c r="G54" s="172"/>
      <c r="H54" s="190"/>
      <c r="I54" s="191"/>
      <c r="J54" s="170"/>
      <c r="K54" s="134"/>
      <c r="L54" s="2"/>
      <c r="M54" s="2"/>
      <c r="N54" s="2"/>
      <c r="O54" s="2"/>
      <c r="P54" s="2"/>
      <c r="Q54" s="2"/>
      <c r="R54" s="2"/>
      <c r="S54" s="2"/>
      <c r="T54" s="2"/>
      <c r="U54" s="2"/>
    </row>
    <row r="55" spans="1:21" s="73" customFormat="1" ht="18" customHeight="1" x14ac:dyDescent="0.3">
      <c r="A55" s="13"/>
      <c r="B55" s="13"/>
      <c r="C55" s="2"/>
      <c r="D55" s="2"/>
      <c r="E55" s="175" t="s">
        <v>984</v>
      </c>
      <c r="F55" s="176" t="str">
        <f>IF(ISNUMBER(Dades!E544),Dades!E544,"")</f>
        <v/>
      </c>
      <c r="G55" s="137" t="str">
        <f>IF(ISNUMBER(Dades!AN664),Dades!AN664,"")</f>
        <v/>
      </c>
      <c r="H55" s="168" t="s">
        <v>41</v>
      </c>
      <c r="I55" s="177" t="s">
        <v>42</v>
      </c>
      <c r="J55" s="178"/>
      <c r="K55" s="134"/>
      <c r="L55" s="2"/>
      <c r="M55" s="2"/>
      <c r="N55" s="2"/>
      <c r="O55" s="2"/>
      <c r="P55" s="2"/>
      <c r="Q55" s="2"/>
    </row>
    <row r="56" spans="1:21" s="73" customFormat="1" ht="4.5" customHeight="1" x14ac:dyDescent="0.3">
      <c r="A56" s="13"/>
      <c r="B56" s="13"/>
      <c r="C56" s="2"/>
      <c r="D56" s="2"/>
      <c r="E56" s="179"/>
      <c r="F56" s="180"/>
      <c r="G56" s="181"/>
      <c r="H56" s="192"/>
      <c r="I56" s="191"/>
      <c r="J56" s="170"/>
      <c r="K56" s="134"/>
      <c r="L56" s="2"/>
      <c r="M56" s="2"/>
      <c r="N56" s="2"/>
      <c r="O56" s="2"/>
      <c r="P56" s="2"/>
      <c r="Q56" s="2"/>
    </row>
    <row r="57" spans="1:21" s="73" customFormat="1" ht="18" customHeight="1" x14ac:dyDescent="0.3">
      <c r="A57" s="13"/>
      <c r="B57" s="13"/>
      <c r="C57" s="2"/>
      <c r="D57" s="2"/>
      <c r="E57" s="166"/>
      <c r="F57" s="182"/>
      <c r="G57" s="137" t="str">
        <f>IF(ISNUMBER(Dades!AN665),Dades!AN665,"")</f>
        <v/>
      </c>
      <c r="H57" s="168" t="s">
        <v>41</v>
      </c>
      <c r="I57" s="169" t="s">
        <v>986</v>
      </c>
      <c r="J57" s="178"/>
      <c r="K57" s="134"/>
      <c r="L57" s="2"/>
      <c r="M57" s="2"/>
      <c r="N57" s="2"/>
      <c r="O57" s="2"/>
      <c r="P57" s="2"/>
      <c r="Q57" s="2"/>
    </row>
    <row r="58" spans="1:21" s="73" customFormat="1" ht="4.5" customHeight="1" x14ac:dyDescent="0.3">
      <c r="A58" s="13"/>
      <c r="B58" s="13"/>
      <c r="C58" s="2"/>
      <c r="D58" s="2"/>
      <c r="E58" s="183"/>
      <c r="F58" s="184"/>
      <c r="G58" s="184"/>
      <c r="H58" s="186"/>
      <c r="I58" s="186"/>
      <c r="J58" s="187"/>
      <c r="K58" s="134"/>
      <c r="L58" s="2"/>
      <c r="M58" s="2"/>
      <c r="N58" s="2"/>
      <c r="O58" s="2"/>
      <c r="P58" s="2"/>
      <c r="Q58" s="2"/>
    </row>
    <row r="59" spans="1:21" s="73" customFormat="1" ht="12.95" customHeight="1" x14ac:dyDescent="0.3">
      <c r="A59" s="13"/>
      <c r="B59" s="13"/>
      <c r="C59" s="2"/>
      <c r="D59" s="2"/>
      <c r="E59" s="2"/>
      <c r="F59" s="158"/>
      <c r="G59" s="188"/>
      <c r="H59" s="105"/>
      <c r="I59" s="105"/>
      <c r="J59" s="105"/>
      <c r="K59" s="105"/>
      <c r="L59" s="2"/>
      <c r="M59" s="2"/>
      <c r="N59" s="2"/>
      <c r="O59" s="2"/>
      <c r="P59" s="2"/>
      <c r="Q59" s="2"/>
    </row>
    <row r="60" spans="1:21" s="73" customFormat="1" ht="4.5" customHeight="1" x14ac:dyDescent="0.3">
      <c r="A60" s="13"/>
      <c r="B60" s="13"/>
      <c r="C60" s="2"/>
      <c r="D60" s="2"/>
      <c r="E60" s="160"/>
      <c r="F60" s="161"/>
      <c r="G60" s="162"/>
      <c r="H60" s="164"/>
      <c r="I60" s="164"/>
      <c r="J60" s="165"/>
      <c r="K60" s="134"/>
      <c r="L60" s="2"/>
      <c r="M60" s="2"/>
      <c r="N60" s="2"/>
      <c r="O60" s="2"/>
      <c r="P60" s="2"/>
      <c r="Q60" s="2"/>
    </row>
    <row r="61" spans="1:21" s="73" customFormat="1" ht="18" customHeight="1" x14ac:dyDescent="0.3">
      <c r="A61" s="13"/>
      <c r="B61" s="13"/>
      <c r="C61" s="2"/>
      <c r="D61" s="2"/>
      <c r="E61" s="166"/>
      <c r="F61" s="167"/>
      <c r="G61" s="137" t="str">
        <f>IF(ISNUMBER(Dades!AO663),Dades!AO663,"")</f>
        <v/>
      </c>
      <c r="H61" s="168" t="s">
        <v>41</v>
      </c>
      <c r="I61" s="169" t="str">
        <f>IF(ISTEXT(I37),I37,"")</f>
        <v>Unitats</v>
      </c>
      <c r="J61" s="170"/>
      <c r="K61" s="134"/>
      <c r="L61" s="2"/>
      <c r="M61" s="2"/>
      <c r="N61" s="2"/>
      <c r="O61" s="2"/>
      <c r="P61" s="2"/>
      <c r="Q61" s="2"/>
    </row>
    <row r="62" spans="1:21" s="73" customFormat="1" ht="4.5" customHeight="1" x14ac:dyDescent="0.3">
      <c r="A62" s="13"/>
      <c r="B62" s="13"/>
      <c r="C62" s="2"/>
      <c r="D62" s="2"/>
      <c r="E62" s="171"/>
      <c r="F62" s="167"/>
      <c r="G62" s="172"/>
      <c r="H62" s="190"/>
      <c r="I62" s="191"/>
      <c r="J62" s="170"/>
      <c r="K62" s="134"/>
      <c r="L62" s="2"/>
      <c r="M62" s="2"/>
      <c r="N62" s="2"/>
      <c r="O62" s="2"/>
      <c r="P62" s="2"/>
      <c r="Q62" s="2"/>
      <c r="R62" s="2"/>
      <c r="S62" s="2"/>
    </row>
    <row r="63" spans="1:21" s="73" customFormat="1" ht="18" customHeight="1" x14ac:dyDescent="0.3">
      <c r="A63" s="13"/>
      <c r="B63" s="13"/>
      <c r="C63" s="2"/>
      <c r="D63" s="2"/>
      <c r="E63" s="175" t="s">
        <v>985</v>
      </c>
      <c r="F63" s="176" t="str">
        <f>IF(ISNUMBER(Dades!$F$526),Dades!$F$526,"")</f>
        <v/>
      </c>
      <c r="G63" s="137" t="str">
        <f>IF(ISNUMBER(Dades!AO664),Dades!AO664,"")</f>
        <v/>
      </c>
      <c r="H63" s="168" t="s">
        <v>41</v>
      </c>
      <c r="I63" s="177" t="s">
        <v>42</v>
      </c>
      <c r="J63" s="178"/>
      <c r="K63" s="134"/>
      <c r="L63" s="2"/>
      <c r="M63" s="2"/>
      <c r="N63" s="2"/>
      <c r="O63" s="2"/>
      <c r="P63" s="2"/>
      <c r="Q63" s="2"/>
      <c r="R63" s="2"/>
      <c r="S63" s="2"/>
    </row>
    <row r="64" spans="1:21" s="73" customFormat="1" ht="4.5" customHeight="1" x14ac:dyDescent="0.3">
      <c r="A64" s="13"/>
      <c r="B64" s="13"/>
      <c r="C64" s="2"/>
      <c r="D64" s="2"/>
      <c r="E64" s="179"/>
      <c r="F64" s="180"/>
      <c r="G64" s="181"/>
      <c r="H64" s="192"/>
      <c r="I64" s="191"/>
      <c r="J64" s="170"/>
      <c r="K64" s="134"/>
      <c r="L64" s="2"/>
      <c r="M64" s="2"/>
      <c r="N64" s="2"/>
      <c r="O64" s="2"/>
      <c r="P64" s="2"/>
      <c r="Q64" s="2"/>
      <c r="R64" s="2"/>
      <c r="S64" s="2"/>
      <c r="T64" s="2"/>
      <c r="U64" s="2"/>
    </row>
    <row r="65" spans="1:21" s="73" customFormat="1" ht="18" customHeight="1" x14ac:dyDescent="0.3">
      <c r="A65" s="13"/>
      <c r="B65" s="13"/>
      <c r="C65" s="2"/>
      <c r="D65" s="2"/>
      <c r="E65" s="166"/>
      <c r="F65" s="182"/>
      <c r="G65" s="137" t="str">
        <f>IF(ISNUMBER(Dades!AO665),Dades!AO665,"")</f>
        <v/>
      </c>
      <c r="H65" s="168" t="s">
        <v>41</v>
      </c>
      <c r="I65" s="169" t="s">
        <v>986</v>
      </c>
      <c r="J65" s="178"/>
      <c r="K65" s="134"/>
      <c r="L65" s="2"/>
      <c r="N65" s="83"/>
      <c r="O65" s="529"/>
      <c r="P65" s="530"/>
      <c r="Q65" s="529"/>
      <c r="R65" s="83"/>
      <c r="S65" s="2"/>
      <c r="T65" s="2"/>
      <c r="U65" s="2"/>
    </row>
    <row r="66" spans="1:21" s="73" customFormat="1" ht="4.5" customHeight="1" x14ac:dyDescent="0.3">
      <c r="A66" s="13"/>
      <c r="B66" s="13"/>
      <c r="C66" s="2"/>
      <c r="D66" s="2"/>
      <c r="E66" s="183"/>
      <c r="F66" s="184"/>
      <c r="G66" s="184"/>
      <c r="H66" s="186"/>
      <c r="I66" s="186"/>
      <c r="J66" s="187"/>
      <c r="K66" s="134"/>
      <c r="L66" s="2"/>
      <c r="M66" s="2"/>
      <c r="N66" s="83"/>
      <c r="O66" s="529"/>
      <c r="P66" s="530"/>
      <c r="Q66" s="529"/>
      <c r="R66" s="83"/>
      <c r="S66" s="2"/>
      <c r="T66" s="2"/>
      <c r="U66" s="2"/>
    </row>
    <row r="67" spans="1:21" s="73" customFormat="1" ht="8.25" customHeight="1" x14ac:dyDescent="0.3">
      <c r="A67" s="13"/>
      <c r="B67" s="13"/>
      <c r="C67" s="2"/>
      <c r="D67" s="2"/>
      <c r="E67" s="2"/>
      <c r="F67" s="2"/>
      <c r="G67" s="105"/>
      <c r="H67" s="105"/>
      <c r="I67" s="105"/>
      <c r="J67" s="105"/>
      <c r="K67" s="105"/>
      <c r="L67" s="2"/>
      <c r="M67" s="2"/>
      <c r="N67" s="2"/>
      <c r="O67" s="2"/>
      <c r="P67" s="2"/>
      <c r="Q67" s="2"/>
      <c r="R67" s="2"/>
      <c r="S67" s="2"/>
      <c r="T67" s="2"/>
      <c r="U67" s="2"/>
    </row>
    <row r="68" spans="1:21" ht="18.75" x14ac:dyDescent="0.3">
      <c r="D68" s="470" t="s">
        <v>1015</v>
      </c>
      <c r="E68" s="470"/>
      <c r="F68" s="470"/>
      <c r="G68" s="470"/>
      <c r="H68" s="470"/>
      <c r="I68" s="470"/>
      <c r="J68" s="470"/>
      <c r="K68" s="470"/>
      <c r="L68" s="470"/>
      <c r="M68" s="470"/>
      <c r="N68" s="470"/>
      <c r="O68" s="470"/>
      <c r="P68" s="470"/>
      <c r="Q68" s="470"/>
      <c r="R68" s="470"/>
      <c r="S68" s="470"/>
      <c r="T68" s="470"/>
      <c r="U68" s="470"/>
    </row>
    <row r="69" spans="1:21" x14ac:dyDescent="0.3">
      <c r="D69" s="193" t="s">
        <v>1002</v>
      </c>
      <c r="E69" s="194"/>
      <c r="L69" s="2"/>
      <c r="M69" s="2"/>
    </row>
    <row r="70" spans="1:21" x14ac:dyDescent="0.3">
      <c r="A70" s="195"/>
      <c r="B70" s="195"/>
      <c r="C70" s="73"/>
      <c r="D70" s="73"/>
      <c r="E70" s="73"/>
      <c r="F70" s="73"/>
      <c r="G70" s="73"/>
      <c r="H70" s="73"/>
      <c r="I70" s="73"/>
      <c r="J70" s="73"/>
      <c r="K70" s="73"/>
      <c r="L70" s="73"/>
      <c r="M70" s="73"/>
      <c r="N70" s="73"/>
      <c r="O70" s="73"/>
      <c r="P70" s="73"/>
      <c r="Q70" s="73"/>
      <c r="R70" s="73"/>
      <c r="S70" s="73"/>
      <c r="T70" s="73"/>
      <c r="U70" s="73"/>
    </row>
    <row r="71" spans="1:21" ht="35.25" customHeight="1" x14ac:dyDescent="0.3">
      <c r="A71" s="195"/>
      <c r="B71" s="195"/>
      <c r="C71" s="73"/>
      <c r="D71" s="73"/>
      <c r="E71" s="391" t="s">
        <v>849</v>
      </c>
      <c r="F71" s="197" t="s">
        <v>979</v>
      </c>
      <c r="G71" s="197" t="s">
        <v>1001</v>
      </c>
      <c r="H71" s="197" t="s">
        <v>990</v>
      </c>
      <c r="I71" s="531" t="s">
        <v>993</v>
      </c>
      <c r="J71" s="531"/>
      <c r="K71" s="532" t="s">
        <v>971</v>
      </c>
      <c r="L71" s="532"/>
      <c r="M71" s="532"/>
      <c r="N71" s="533" t="s">
        <v>1014</v>
      </c>
      <c r="O71" s="532"/>
      <c r="P71" s="532" t="s">
        <v>973</v>
      </c>
      <c r="Q71" s="532"/>
      <c r="R71" s="532"/>
      <c r="S71" s="73"/>
      <c r="T71" s="73"/>
      <c r="U71" s="73"/>
    </row>
    <row r="72" spans="1:21" ht="16.5" customHeight="1" x14ac:dyDescent="0.3">
      <c r="A72" s="198"/>
      <c r="B72" s="195"/>
      <c r="C72" s="73"/>
      <c r="D72" s="73"/>
      <c r="E72" s="197" t="str">
        <f>IF(Dades!E662="","",Dades!E662)</f>
        <v/>
      </c>
      <c r="F72" s="396">
        <f>DSUM('1_Combustibles fòssils'!$E$17:$N$39,"emissions",'6.1_Resultats Illes Balears'!E71:E72)/1000</f>
        <v>0</v>
      </c>
      <c r="G72" s="396">
        <f>(DSUM('1_Combustibles fòssils'!$E$47:$U$67,"emissions1",'6.1_Resultats Illes Balears'!E71:E72)+DSUM('1_Combustibles fòssils'!$E$47:$U$67,"emissions2",'6.1_Resultats Illes Balears'!E71:E72))/1000</f>
        <v>0</v>
      </c>
      <c r="H72" s="396">
        <f>DSUM('2_Fluorats'!$E$11:$P$33,"emissions",'6.1_Resultats Illes Balears'!E71:E72)/1000</f>
        <v>0</v>
      </c>
      <c r="I72" s="507">
        <f>DSUM('3_Emissions processos'!$E$13:$K$35,"emissions",'6.1_Resultats Illes Balears'!E71:E72)/1000</f>
        <v>0</v>
      </c>
      <c r="J72" s="507"/>
      <c r="K72" s="508">
        <f>SUM(F72:J72)</f>
        <v>0</v>
      </c>
      <c r="L72" s="508"/>
      <c r="M72" s="508"/>
      <c r="N72" s="507">
        <f>(DSUM('4.1_Electricitat Illes Balears'!$E$20:$J$42,"emisiones",'6.1_Resultats Illes Balears'!E71:E72)+DSUM('4.1_Electricitat Illes Balears'!$E$50:$K$70,"emisiones",'6.1_Resultats Illes Balears'!E71:E72))/1000</f>
        <v>0</v>
      </c>
      <c r="O72" s="508"/>
      <c r="P72" s="508">
        <f>K72+N72</f>
        <v>0</v>
      </c>
      <c r="Q72" s="508"/>
      <c r="R72" s="508"/>
      <c r="S72" s="73"/>
      <c r="T72" s="73"/>
      <c r="U72" s="73"/>
    </row>
    <row r="73" spans="1:21" ht="16.5" customHeight="1" x14ac:dyDescent="0.3">
      <c r="A73" s="198"/>
      <c r="B73" s="195"/>
      <c r="C73" s="73"/>
      <c r="D73" s="73"/>
      <c r="E73" s="197" t="str">
        <f>IF(Dades!E663="","",Dades!E663)</f>
        <v/>
      </c>
      <c r="F73" s="396">
        <f>(DSUM('1_Combustibles fòssils'!$E$17:$N$39,"emissions",'6.1_Resultats Illes Balears'!E$71:E73)/1000)-SUM(F$72:F72)</f>
        <v>0</v>
      </c>
      <c r="G73" s="396">
        <f>((DSUM('1_Combustibles fòssils'!$E$47:$U$67,"emissions1",'6.1_Resultats Illes Balears'!E$71:E73)+DSUM('1_Combustibles fòssils'!$E$47:$U$67,"emissions2",'6.1_Resultats Illes Balears'!E$71:E73))/1000)-SUM(G$72:G72)</f>
        <v>0</v>
      </c>
      <c r="H73" s="396">
        <f>(DSUM('2_Fluorats'!$E$11:$P$33,"emissions",'6.1_Resultats Illes Balears'!E$71:E73)/1000)-SUM(H$72:H72)</f>
        <v>0</v>
      </c>
      <c r="I73" s="507">
        <f>(DSUM('3_Emissions processos'!$E$13:$K$35,"emissions",'6.1_Resultats Illes Balears'!E$71:E73)/1000)-SUM(I$72:I72)</f>
        <v>0</v>
      </c>
      <c r="J73" s="507"/>
      <c r="K73" s="508">
        <f>SUM(F73:J73)</f>
        <v>0</v>
      </c>
      <c r="L73" s="508"/>
      <c r="M73" s="508"/>
      <c r="N73" s="507">
        <f>((DSUM('4.1_Electricitat Illes Balears'!$E$20:$J$42,"emisiones",'6.1_Resultats Illes Balears'!E$71:E73)+DSUM('4.1_Electricitat Illes Balears'!$E$50:$K$70,"emisiones",'6.1_Resultats Illes Balears'!E$71:E73))/1000)-SUM(N$72:N72)</f>
        <v>0</v>
      </c>
      <c r="O73" s="508"/>
      <c r="P73" s="508">
        <f>K73+N73</f>
        <v>0</v>
      </c>
      <c r="Q73" s="508"/>
      <c r="R73" s="508"/>
      <c r="S73" s="73"/>
      <c r="T73" s="73"/>
      <c r="U73" s="73"/>
    </row>
    <row r="74" spans="1:21" ht="16.5" customHeight="1" x14ac:dyDescent="0.3">
      <c r="A74" s="198"/>
      <c r="B74" s="195"/>
      <c r="C74" s="73"/>
      <c r="D74" s="73"/>
      <c r="E74" s="197" t="str">
        <f>IF(Dades!E664="","",Dades!E664)</f>
        <v/>
      </c>
      <c r="F74" s="396">
        <f>(DSUM('1_Combustibles fòssils'!$E$17:$N$39,"emissions",'6.1_Resultats Illes Balears'!E$71:E74)/1000)-SUM(F$72:F73)</f>
        <v>0</v>
      </c>
      <c r="G74" s="396">
        <f>((DSUM('1_Combustibles fòssils'!$E$47:$U$67,"emissions1",'6.1_Resultats Illes Balears'!E$71:E74)+DSUM('1_Combustibles fòssils'!$E$47:$U$67,"emissions2",'6.1_Resultats Illes Balears'!E$71:E74))/1000)-SUM(G$72:G73)</f>
        <v>0</v>
      </c>
      <c r="H74" s="396">
        <f>(DSUM('2_Fluorats'!$E$11:$P$33,"emissions",'6.1_Resultats Illes Balears'!E$71:E74)/1000)-SUM(H$72:H73)</f>
        <v>0</v>
      </c>
      <c r="I74" s="507">
        <f>(DSUM('3_Emissions processos'!$E$13:$K$35,"emissions",'6.1_Resultats Illes Balears'!E$71:E74)/1000)-SUM(I$72:I73)</f>
        <v>0</v>
      </c>
      <c r="J74" s="507"/>
      <c r="K74" s="508">
        <f t="shared" ref="K74:K137" si="0">SUM(F74:J74)</f>
        <v>0</v>
      </c>
      <c r="L74" s="508"/>
      <c r="M74" s="508"/>
      <c r="N74" s="507">
        <f>((DSUM('4.1_Electricitat Illes Balears'!$E$20:$J$42,"emisiones",'6.1_Resultats Illes Balears'!E$71:E74)+DSUM('4.1_Electricitat Illes Balears'!$E$50:$K$70,"emisiones",'6.1_Resultats Illes Balears'!E$71:E74))/1000)-SUM(N$72:N73)</f>
        <v>0</v>
      </c>
      <c r="O74" s="508"/>
      <c r="P74" s="508">
        <f t="shared" ref="P74:P137" si="1">K74+N74</f>
        <v>0</v>
      </c>
      <c r="Q74" s="508"/>
      <c r="R74" s="508"/>
      <c r="S74" s="73"/>
      <c r="T74" s="73"/>
      <c r="U74" s="73"/>
    </row>
    <row r="75" spans="1:21" ht="16.5" customHeight="1" x14ac:dyDescent="0.3">
      <c r="A75" s="198"/>
      <c r="B75" s="195"/>
      <c r="C75" s="73"/>
      <c r="D75" s="73"/>
      <c r="E75" s="197" t="str">
        <f>IF(Dades!E665="","",Dades!E665)</f>
        <v/>
      </c>
      <c r="F75" s="396">
        <f>(DSUM('1_Combustibles fòssils'!$E$17:$N$39,"emissions",'6.1_Resultats Illes Balears'!E$71:E75)/1000)-SUM(F$72:F74)</f>
        <v>0</v>
      </c>
      <c r="G75" s="396">
        <f>((DSUM('1_Combustibles fòssils'!$E$47:$U$67,"emissions1",'6.1_Resultats Illes Balears'!E$71:E75)+DSUM('1_Combustibles fòssils'!$E$47:$U$67,"emissions2",'6.1_Resultats Illes Balears'!E$71:E75))/1000)-SUM(G$72:G74)</f>
        <v>0</v>
      </c>
      <c r="H75" s="396">
        <f>(DSUM('2_Fluorats'!$E$11:$P$33,"emissions",'6.1_Resultats Illes Balears'!E$71:E75)/1000)-SUM(H$72:H74)</f>
        <v>0</v>
      </c>
      <c r="I75" s="507">
        <f>(DSUM('3_Emissions processos'!$E$13:$K$35,"emissions",'6.1_Resultats Illes Balears'!E$71:E75)/1000)-SUM(I$72:I74)</f>
        <v>0</v>
      </c>
      <c r="J75" s="507"/>
      <c r="K75" s="508">
        <f t="shared" si="0"/>
        <v>0</v>
      </c>
      <c r="L75" s="508"/>
      <c r="M75" s="508"/>
      <c r="N75" s="507">
        <f>((DSUM('4.1_Electricitat Illes Balears'!$E$20:$J$42,"emisiones",'6.1_Resultats Illes Balears'!E$71:E75)+DSUM('4.1_Electricitat Illes Balears'!$E$50:$K$70,"emisiones",'6.1_Resultats Illes Balears'!E$71:E75))/1000)-SUM(N$72:N74)</f>
        <v>0</v>
      </c>
      <c r="O75" s="508"/>
      <c r="P75" s="508">
        <f t="shared" si="1"/>
        <v>0</v>
      </c>
      <c r="Q75" s="508"/>
      <c r="R75" s="508"/>
      <c r="S75" s="73"/>
      <c r="T75" s="73"/>
      <c r="U75" s="73"/>
    </row>
    <row r="76" spans="1:21" ht="16.5" customHeight="1" x14ac:dyDescent="0.3">
      <c r="A76" s="198"/>
      <c r="B76" s="195"/>
      <c r="C76" s="73"/>
      <c r="D76" s="73"/>
      <c r="E76" s="197" t="str">
        <f>IF(Dades!E666="","",Dades!E666)</f>
        <v/>
      </c>
      <c r="F76" s="396">
        <f>(DSUM('1_Combustibles fòssils'!$E$17:$N$39,"emissions",'6.1_Resultats Illes Balears'!E$71:E76)/1000)-SUM(F$72:F75)</f>
        <v>0</v>
      </c>
      <c r="G76" s="396">
        <f>((DSUM('1_Combustibles fòssils'!$E$47:$U$67,"emissions1",'6.1_Resultats Illes Balears'!E$71:E76)+DSUM('1_Combustibles fòssils'!$E$47:$U$67,"emissions2",'6.1_Resultats Illes Balears'!E$71:E76))/1000)-SUM(G$72:G75)</f>
        <v>0</v>
      </c>
      <c r="H76" s="396">
        <f>(DSUM('2_Fluorats'!$E$11:$P$33,"emissions",'6.1_Resultats Illes Balears'!E$71:E76)/1000)-SUM(H$72:H75)</f>
        <v>0</v>
      </c>
      <c r="I76" s="507">
        <f>(DSUM('3_Emissions processos'!$E$13:$K$35,"emissions",'6.1_Resultats Illes Balears'!E$71:E76)/1000)-SUM(I$72:I75)</f>
        <v>0</v>
      </c>
      <c r="J76" s="507"/>
      <c r="K76" s="508">
        <f t="shared" si="0"/>
        <v>0</v>
      </c>
      <c r="L76" s="508"/>
      <c r="M76" s="508"/>
      <c r="N76" s="507">
        <f>((DSUM('4.1_Electricitat Illes Balears'!$E$20:$J$42,"emisiones",'6.1_Resultats Illes Balears'!E$71:E76)+DSUM('4.1_Electricitat Illes Balears'!$E$50:$K$70,"emisiones",'6.1_Resultats Illes Balears'!E$71:E76))/1000)-SUM(N$72:N75)</f>
        <v>0</v>
      </c>
      <c r="O76" s="508"/>
      <c r="P76" s="508">
        <f t="shared" si="1"/>
        <v>0</v>
      </c>
      <c r="Q76" s="508"/>
      <c r="R76" s="508"/>
      <c r="S76" s="73"/>
      <c r="T76" s="73"/>
      <c r="U76" s="73"/>
    </row>
    <row r="77" spans="1:21" x14ac:dyDescent="0.3">
      <c r="A77" s="198"/>
      <c r="B77" s="195"/>
      <c r="C77" s="73"/>
      <c r="D77" s="73"/>
      <c r="E77" s="197" t="str">
        <f>IF(Dades!E667="","",Dades!E667)</f>
        <v/>
      </c>
      <c r="F77" s="396">
        <f>(DSUM('1_Combustibles fòssils'!$E$17:$N$39,"emissions",'6.1_Resultats Illes Balears'!E$71:E77)/1000)-SUM(F$72:F76)</f>
        <v>0</v>
      </c>
      <c r="G77" s="396">
        <f>((DSUM('1_Combustibles fòssils'!$E$47:$U$67,"emissions1",'6.1_Resultats Illes Balears'!E$71:E77)+DSUM('1_Combustibles fòssils'!$E$47:$U$67,"emissions2",'6.1_Resultats Illes Balears'!E$71:E77))/1000)-SUM(G$72:G76)</f>
        <v>0</v>
      </c>
      <c r="H77" s="396">
        <f>(DSUM('2_Fluorats'!$E$11:$P$33,"emissions",'6.1_Resultats Illes Balears'!E$71:E77)/1000)-SUM(H$72:H76)</f>
        <v>0</v>
      </c>
      <c r="I77" s="507">
        <f>(DSUM('3_Emissions processos'!$E$13:$K$35,"emissions",'6.1_Resultats Illes Balears'!E$71:E77)/1000)-SUM(I$72:I76)</f>
        <v>0</v>
      </c>
      <c r="J77" s="507"/>
      <c r="K77" s="508">
        <f t="shared" si="0"/>
        <v>0</v>
      </c>
      <c r="L77" s="508"/>
      <c r="M77" s="508"/>
      <c r="N77" s="507">
        <f>((DSUM('4.1_Electricitat Illes Balears'!$E$20:$J$42,"emisiones",'6.1_Resultats Illes Balears'!E$71:E77)+DSUM('4.1_Electricitat Illes Balears'!$E$50:$K$70,"emisiones",'6.1_Resultats Illes Balears'!E$71:E77))/1000)-SUM(N$72:N76)</f>
        <v>0</v>
      </c>
      <c r="O77" s="508"/>
      <c r="P77" s="508">
        <f t="shared" si="1"/>
        <v>0</v>
      </c>
      <c r="Q77" s="508"/>
      <c r="R77" s="508"/>
      <c r="S77" s="73"/>
      <c r="T77" s="73"/>
      <c r="U77" s="73"/>
    </row>
    <row r="78" spans="1:21" ht="16.5" customHeight="1" x14ac:dyDescent="0.3">
      <c r="A78" s="198"/>
      <c r="B78" s="195"/>
      <c r="C78" s="73"/>
      <c r="D78" s="73"/>
      <c r="E78" s="197" t="str">
        <f>IF(Dades!E668="","",Dades!E668)</f>
        <v/>
      </c>
      <c r="F78" s="396">
        <f>(DSUM('1_Combustibles fòssils'!$E$17:$N$39,"emissions",'6.1_Resultats Illes Balears'!E$71:E78)/1000)-SUM(F$72:F77)</f>
        <v>0</v>
      </c>
      <c r="G78" s="396">
        <f>((DSUM('1_Combustibles fòssils'!$E$47:$U$67,"emissions1",'6.1_Resultats Illes Balears'!E$71:E78)+DSUM('1_Combustibles fòssils'!$E$47:$U$67,"emissions2",'6.1_Resultats Illes Balears'!E$71:E78))/1000)-SUM(G$72:G77)</f>
        <v>0</v>
      </c>
      <c r="H78" s="396">
        <f>(DSUM('2_Fluorats'!$E$11:$P$33,"emissions",'6.1_Resultats Illes Balears'!E$71:E78)/1000)-SUM(H$72:H77)</f>
        <v>0</v>
      </c>
      <c r="I78" s="507">
        <f>(DSUM('3_Emissions processos'!$E$13:$K$35,"emissions",'6.1_Resultats Illes Balears'!E$71:E78)/1000)-SUM(I$72:I77)</f>
        <v>0</v>
      </c>
      <c r="J78" s="507"/>
      <c r="K78" s="508">
        <f t="shared" si="0"/>
        <v>0</v>
      </c>
      <c r="L78" s="508"/>
      <c r="M78" s="508"/>
      <c r="N78" s="507">
        <f>((DSUM('4.1_Electricitat Illes Balears'!$E$20:$J$42,"emisiones",'6.1_Resultats Illes Balears'!E$71:E78)+DSUM('4.1_Electricitat Illes Balears'!$E$50:$K$70,"emisiones",'6.1_Resultats Illes Balears'!E$71:E78))/1000)-SUM(N$72:N77)</f>
        <v>0</v>
      </c>
      <c r="O78" s="508"/>
      <c r="P78" s="508">
        <f t="shared" si="1"/>
        <v>0</v>
      </c>
      <c r="Q78" s="508"/>
      <c r="R78" s="508"/>
      <c r="S78" s="73"/>
      <c r="T78" s="73"/>
      <c r="U78" s="73"/>
    </row>
    <row r="79" spans="1:21" x14ac:dyDescent="0.3">
      <c r="A79" s="198"/>
      <c r="B79" s="195"/>
      <c r="C79" s="73"/>
      <c r="D79" s="73"/>
      <c r="E79" s="197" t="str">
        <f>IF(Dades!E669="","",Dades!E669)</f>
        <v/>
      </c>
      <c r="F79" s="396">
        <f>(DSUM('1_Combustibles fòssils'!$E$17:$N$39,"emissions",'6.1_Resultats Illes Balears'!E$71:E79)/1000)-SUM(F$72:F78)</f>
        <v>0</v>
      </c>
      <c r="G79" s="396">
        <f>((DSUM('1_Combustibles fòssils'!$E$47:$U$67,"emissions1",'6.1_Resultats Illes Balears'!E$71:E79)+DSUM('1_Combustibles fòssils'!$E$47:$U$67,"emissions2",'6.1_Resultats Illes Balears'!E$71:E79))/1000)-SUM(G$72:G78)</f>
        <v>0</v>
      </c>
      <c r="H79" s="396">
        <f>(DSUM('2_Fluorats'!$E$11:$P$33,"emissions",'6.1_Resultats Illes Balears'!E$71:E79)/1000)-SUM(H$72:H78)</f>
        <v>0</v>
      </c>
      <c r="I79" s="507">
        <f>(DSUM('3_Emissions processos'!$E$13:$K$35,"emissions",'6.1_Resultats Illes Balears'!E$71:E79)/1000)-SUM(I$72:I78)</f>
        <v>0</v>
      </c>
      <c r="J79" s="507"/>
      <c r="K79" s="508">
        <f t="shared" si="0"/>
        <v>0</v>
      </c>
      <c r="L79" s="508"/>
      <c r="M79" s="508"/>
      <c r="N79" s="507">
        <f>((DSUM('4.1_Electricitat Illes Balears'!$E$20:$J$42,"emisiones",'6.1_Resultats Illes Balears'!E$71:E79)+DSUM('4.1_Electricitat Illes Balears'!$E$50:$K$70,"emisiones",'6.1_Resultats Illes Balears'!E$71:E79))/1000)-SUM(N$72:N78)</f>
        <v>0</v>
      </c>
      <c r="O79" s="508"/>
      <c r="P79" s="508">
        <f t="shared" si="1"/>
        <v>0</v>
      </c>
      <c r="Q79" s="508"/>
      <c r="R79" s="508"/>
      <c r="S79" s="73"/>
      <c r="T79" s="73"/>
      <c r="U79" s="73"/>
    </row>
    <row r="80" spans="1:21" x14ac:dyDescent="0.3">
      <c r="A80" s="198"/>
      <c r="B80" s="195"/>
      <c r="C80" s="73"/>
      <c r="D80" s="73"/>
      <c r="E80" s="197" t="str">
        <f>IF(Dades!E670="","",Dades!E670)</f>
        <v/>
      </c>
      <c r="F80" s="396">
        <f>(DSUM('1_Combustibles fòssils'!$E$17:$N$39,"emissions",'6.1_Resultats Illes Balears'!E$71:E80)/1000)-SUM(F$72:F79)</f>
        <v>0</v>
      </c>
      <c r="G80" s="396">
        <f>((DSUM('1_Combustibles fòssils'!$E$47:$U$67,"emissions1",'6.1_Resultats Illes Balears'!E$71:E80)+DSUM('1_Combustibles fòssils'!$E$47:$U$67,"emissions2",'6.1_Resultats Illes Balears'!E$71:E80))/1000)-SUM(G$72:G79)</f>
        <v>0</v>
      </c>
      <c r="H80" s="396">
        <f>(DSUM('2_Fluorats'!$E$11:$P$33,"emissions",'6.1_Resultats Illes Balears'!E$71:E80)/1000)-SUM(H$72:H79)</f>
        <v>0</v>
      </c>
      <c r="I80" s="507">
        <f>(DSUM('3_Emissions processos'!$E$13:$K$35,"emissions",'6.1_Resultats Illes Balears'!E$71:E80)/1000)-SUM(I$72:I79)</f>
        <v>0</v>
      </c>
      <c r="J80" s="507"/>
      <c r="K80" s="508">
        <f t="shared" si="0"/>
        <v>0</v>
      </c>
      <c r="L80" s="508"/>
      <c r="M80" s="508"/>
      <c r="N80" s="507">
        <f>((DSUM('4.1_Electricitat Illes Balears'!$E$20:$J$42,"emisiones",'6.1_Resultats Illes Balears'!E$71:E80)+DSUM('4.1_Electricitat Illes Balears'!$E$50:$K$70,"emisiones",'6.1_Resultats Illes Balears'!E$71:E80))/1000)-SUM(N$72:N79)</f>
        <v>0</v>
      </c>
      <c r="O80" s="508"/>
      <c r="P80" s="508">
        <f t="shared" si="1"/>
        <v>0</v>
      </c>
      <c r="Q80" s="508"/>
      <c r="R80" s="508"/>
      <c r="S80" s="73"/>
      <c r="T80" s="73"/>
      <c r="U80" s="73"/>
    </row>
    <row r="81" spans="1:21" x14ac:dyDescent="0.3">
      <c r="A81" s="198"/>
      <c r="B81" s="195"/>
      <c r="C81" s="73"/>
      <c r="D81" s="73"/>
      <c r="E81" s="197" t="str">
        <f>IF(Dades!E671="","",Dades!E671)</f>
        <v/>
      </c>
      <c r="F81" s="396">
        <f>(DSUM('1_Combustibles fòssils'!$E$17:$N$39,"emissions",'6.1_Resultats Illes Balears'!E$71:E81)/1000)-SUM(F$72:F80)</f>
        <v>0</v>
      </c>
      <c r="G81" s="396">
        <f>((DSUM('1_Combustibles fòssils'!$E$47:$U$67,"emissions1",'6.1_Resultats Illes Balears'!E$71:E81)+DSUM('1_Combustibles fòssils'!$E$47:$U$67,"emissions2",'6.1_Resultats Illes Balears'!E$71:E81))/1000)-SUM(G$72:G80)</f>
        <v>0</v>
      </c>
      <c r="H81" s="396">
        <f>(DSUM('2_Fluorats'!$E$11:$P$33,"emissions",'6.1_Resultats Illes Balears'!E$71:E81)/1000)-SUM(H$72:H80)</f>
        <v>0</v>
      </c>
      <c r="I81" s="507">
        <f>(DSUM('3_Emissions processos'!$E$13:$K$35,"emissions",'6.1_Resultats Illes Balears'!E$71:E81)/1000)-SUM(I$72:I80)</f>
        <v>0</v>
      </c>
      <c r="J81" s="507"/>
      <c r="K81" s="508">
        <f t="shared" si="0"/>
        <v>0</v>
      </c>
      <c r="L81" s="508"/>
      <c r="M81" s="508"/>
      <c r="N81" s="507">
        <f>((DSUM('4.1_Electricitat Illes Balears'!$E$20:$J$42,"emisiones",'6.1_Resultats Illes Balears'!E$71:E81)+DSUM('4.1_Electricitat Illes Balears'!$E$50:$K$70,"emisiones",'6.1_Resultats Illes Balears'!E$71:E81))/1000)-SUM(N$72:N80)</f>
        <v>0</v>
      </c>
      <c r="O81" s="508"/>
      <c r="P81" s="508">
        <f t="shared" si="1"/>
        <v>0</v>
      </c>
      <c r="Q81" s="508"/>
      <c r="R81" s="508"/>
      <c r="S81" s="73"/>
      <c r="T81" s="73"/>
      <c r="U81" s="73"/>
    </row>
    <row r="82" spans="1:21" x14ac:dyDescent="0.3">
      <c r="A82" s="198"/>
      <c r="B82" s="195"/>
      <c r="C82" s="73"/>
      <c r="D82" s="73"/>
      <c r="E82" s="197" t="str">
        <f>IF(Dades!E672="","",Dades!E672)</f>
        <v/>
      </c>
      <c r="F82" s="396">
        <f>(DSUM('1_Combustibles fòssils'!$E$17:$N$39,"emissions",'6.1_Resultats Illes Balears'!E$71:E82)/1000)-SUM(F$72:F81)</f>
        <v>0</v>
      </c>
      <c r="G82" s="396">
        <f>((DSUM('1_Combustibles fòssils'!$E$47:$U$67,"emissions1",'6.1_Resultats Illes Balears'!E$71:E82)+DSUM('1_Combustibles fòssils'!$E$47:$U$67,"emissions2",'6.1_Resultats Illes Balears'!E$71:E82))/1000)-SUM(G$72:G81)</f>
        <v>0</v>
      </c>
      <c r="H82" s="396">
        <f>(DSUM('2_Fluorats'!$E$11:$P$33,"emissions",'6.1_Resultats Illes Balears'!E$71:E82)/1000)-SUM(H$72:H81)</f>
        <v>0</v>
      </c>
      <c r="I82" s="507">
        <f>(DSUM('3_Emissions processos'!$E$13:$K$35,"emissions",'6.1_Resultats Illes Balears'!E$71:E82)/1000)-SUM(I$72:I81)</f>
        <v>0</v>
      </c>
      <c r="J82" s="507"/>
      <c r="K82" s="508">
        <f t="shared" si="0"/>
        <v>0</v>
      </c>
      <c r="L82" s="508"/>
      <c r="M82" s="508"/>
      <c r="N82" s="507">
        <f>((DSUM('4.1_Electricitat Illes Balears'!$E$20:$J$42,"emisiones",'6.1_Resultats Illes Balears'!E$71:E82)+DSUM('4.1_Electricitat Illes Balears'!$E$50:$K$70,"emisiones",'6.1_Resultats Illes Balears'!E$71:E82))/1000)-SUM(N$72:N81)</f>
        <v>0</v>
      </c>
      <c r="O82" s="508"/>
      <c r="P82" s="508">
        <f t="shared" si="1"/>
        <v>0</v>
      </c>
      <c r="Q82" s="508"/>
      <c r="R82" s="508"/>
      <c r="S82" s="73"/>
      <c r="T82" s="73"/>
      <c r="U82" s="73"/>
    </row>
    <row r="83" spans="1:21" x14ac:dyDescent="0.3">
      <c r="A83" s="198"/>
      <c r="B83" s="195"/>
      <c r="C83" s="73"/>
      <c r="D83" s="73"/>
      <c r="E83" s="197" t="str">
        <f>IF(Dades!E673="","",Dades!E673)</f>
        <v/>
      </c>
      <c r="F83" s="396">
        <f>(DSUM('1_Combustibles fòssils'!$E$17:$N$39,"emissions",'6.1_Resultats Illes Balears'!E$71:E83)/1000)-SUM(F$72:F82)</f>
        <v>0</v>
      </c>
      <c r="G83" s="396">
        <f>((DSUM('1_Combustibles fòssils'!$E$47:$U$67,"emissions1",'6.1_Resultats Illes Balears'!E$71:E83)+DSUM('1_Combustibles fòssils'!$E$47:$U$67,"emissions2",'6.1_Resultats Illes Balears'!E$71:E83))/1000)-SUM(G$72:G82)</f>
        <v>0</v>
      </c>
      <c r="H83" s="396">
        <f>(DSUM('2_Fluorats'!$E$11:$P$33,"emissions",'6.1_Resultats Illes Balears'!E$71:E83)/1000)-SUM(H$72:H82)</f>
        <v>0</v>
      </c>
      <c r="I83" s="507">
        <f>(DSUM('3_Emissions processos'!$E$13:$K$35,"emissions",'6.1_Resultats Illes Balears'!E$71:E83)/1000)-SUM(I$72:I82)</f>
        <v>0</v>
      </c>
      <c r="J83" s="507"/>
      <c r="K83" s="508">
        <f t="shared" si="0"/>
        <v>0</v>
      </c>
      <c r="L83" s="508"/>
      <c r="M83" s="508"/>
      <c r="N83" s="507">
        <f>((DSUM('4.1_Electricitat Illes Balears'!$E$20:$J$42,"emisiones",'6.1_Resultats Illes Balears'!E$71:E83)+DSUM('4.1_Electricitat Illes Balears'!$E$50:$K$70,"emisiones",'6.1_Resultats Illes Balears'!E$71:E83))/1000)-SUM(N$72:N82)</f>
        <v>0</v>
      </c>
      <c r="O83" s="508"/>
      <c r="P83" s="508">
        <f t="shared" si="1"/>
        <v>0</v>
      </c>
      <c r="Q83" s="508"/>
      <c r="R83" s="508"/>
      <c r="S83" s="73"/>
      <c r="T83" s="73"/>
      <c r="U83" s="73"/>
    </row>
    <row r="84" spans="1:21" ht="16.5" customHeight="1" x14ac:dyDescent="0.3">
      <c r="A84" s="198"/>
      <c r="B84" s="195"/>
      <c r="C84" s="73"/>
      <c r="D84" s="73"/>
      <c r="E84" s="197" t="str">
        <f>IF(Dades!E674="","",Dades!E674)</f>
        <v/>
      </c>
      <c r="F84" s="396">
        <f>(DSUM('1_Combustibles fòssils'!$E$17:$N$39,"emissions",'6.1_Resultats Illes Balears'!E$71:E84)/1000)-SUM(F$72:F83)</f>
        <v>0</v>
      </c>
      <c r="G84" s="396">
        <f>((DSUM('1_Combustibles fòssils'!$E$47:$U$67,"emissions1",'6.1_Resultats Illes Balears'!E$71:E84)+DSUM('1_Combustibles fòssils'!$E$47:$U$67,"emissions2",'6.1_Resultats Illes Balears'!E$71:E84))/1000)-SUM(G$72:G83)</f>
        <v>0</v>
      </c>
      <c r="H84" s="396">
        <f>(DSUM('2_Fluorats'!$E$11:$P$33,"emissions",'6.1_Resultats Illes Balears'!E$71:E84)/1000)-SUM(H$72:H83)</f>
        <v>0</v>
      </c>
      <c r="I84" s="507">
        <f>(DSUM('3_Emissions processos'!$E$13:$K$35,"emissions",'6.1_Resultats Illes Balears'!E$71:E84)/1000)-SUM(I$72:I83)</f>
        <v>0</v>
      </c>
      <c r="J84" s="507"/>
      <c r="K84" s="508">
        <f t="shared" si="0"/>
        <v>0</v>
      </c>
      <c r="L84" s="508"/>
      <c r="M84" s="508"/>
      <c r="N84" s="507">
        <f>((DSUM('4.1_Electricitat Illes Balears'!$E$20:$J$42,"emisiones",'6.1_Resultats Illes Balears'!E$71:E84)+DSUM('4.1_Electricitat Illes Balears'!$E$50:$K$70,"emisiones",'6.1_Resultats Illes Balears'!E$71:E84))/1000)-SUM(N$72:N83)</f>
        <v>0</v>
      </c>
      <c r="O84" s="508"/>
      <c r="P84" s="508">
        <f t="shared" si="1"/>
        <v>0</v>
      </c>
      <c r="Q84" s="508"/>
      <c r="R84" s="508"/>
      <c r="S84" s="73"/>
      <c r="T84" s="73"/>
      <c r="U84" s="73"/>
    </row>
    <row r="85" spans="1:21" ht="16.5" customHeight="1" x14ac:dyDescent="0.3">
      <c r="A85" s="198"/>
      <c r="B85" s="195"/>
      <c r="C85" s="73"/>
      <c r="D85" s="73"/>
      <c r="E85" s="197" t="str">
        <f>IF(Dades!E675="","",Dades!E675)</f>
        <v/>
      </c>
      <c r="F85" s="396">
        <f>(DSUM('1_Combustibles fòssils'!$E$17:$N$39,"emissions",'6.1_Resultats Illes Balears'!E$71:E85)/1000)-SUM(F$72:F84)</f>
        <v>0</v>
      </c>
      <c r="G85" s="396">
        <f>((DSUM('1_Combustibles fòssils'!$E$47:$U$67,"emissions1",'6.1_Resultats Illes Balears'!E$71:E85)+DSUM('1_Combustibles fòssils'!$E$47:$U$67,"emissions2",'6.1_Resultats Illes Balears'!E$71:E85))/1000)-SUM(G$72:G84)</f>
        <v>0</v>
      </c>
      <c r="H85" s="396">
        <f>(DSUM('2_Fluorats'!$E$11:$P$33,"emissions",'6.1_Resultats Illes Balears'!E$71:E85)/1000)-SUM(H$72:H84)</f>
        <v>0</v>
      </c>
      <c r="I85" s="507">
        <f>(DSUM('3_Emissions processos'!$E$13:$K$35,"emissions",'6.1_Resultats Illes Balears'!E$71:E85)/1000)-SUM(I$72:I84)</f>
        <v>0</v>
      </c>
      <c r="J85" s="507"/>
      <c r="K85" s="508">
        <f t="shared" si="0"/>
        <v>0</v>
      </c>
      <c r="L85" s="508"/>
      <c r="M85" s="508"/>
      <c r="N85" s="507">
        <f>((DSUM('4.1_Electricitat Illes Balears'!$E$20:$J$42,"emisiones",'6.1_Resultats Illes Balears'!E$71:E85)+DSUM('4.1_Electricitat Illes Balears'!$E$50:$K$70,"emisiones",'6.1_Resultats Illes Balears'!E$71:E85))/1000)-SUM(N$72:N84)</f>
        <v>0</v>
      </c>
      <c r="O85" s="508"/>
      <c r="P85" s="508">
        <f t="shared" si="1"/>
        <v>0</v>
      </c>
      <c r="Q85" s="508"/>
      <c r="R85" s="508"/>
      <c r="S85" s="73"/>
      <c r="T85" s="73"/>
      <c r="U85" s="73"/>
    </row>
    <row r="86" spans="1:21" ht="16.5" customHeight="1" x14ac:dyDescent="0.3">
      <c r="A86" s="198"/>
      <c r="B86" s="195"/>
      <c r="C86" s="73"/>
      <c r="D86" s="73"/>
      <c r="E86" s="197" t="str">
        <f>IF(Dades!E676="","",Dades!E676)</f>
        <v/>
      </c>
      <c r="F86" s="396">
        <f>(DSUM('1_Combustibles fòssils'!$E$17:$N$39,"emissions",'6.1_Resultats Illes Balears'!E$71:E86)/1000)-SUM(F$72:F85)</f>
        <v>0</v>
      </c>
      <c r="G86" s="396">
        <f>((DSUM('1_Combustibles fòssils'!$E$47:$U$67,"emissions1",'6.1_Resultats Illes Balears'!E$71:E86)+DSUM('1_Combustibles fòssils'!$E$47:$U$67,"emissions2",'6.1_Resultats Illes Balears'!E$71:E86))/1000)-SUM(G$72:G85)</f>
        <v>0</v>
      </c>
      <c r="H86" s="396">
        <f>(DSUM('2_Fluorats'!$E$11:$P$33,"emissions",'6.1_Resultats Illes Balears'!E$71:E86)/1000)-SUM(H$72:H85)</f>
        <v>0</v>
      </c>
      <c r="I86" s="507">
        <f>(DSUM('3_Emissions processos'!$E$13:$K$35,"emissions",'6.1_Resultats Illes Balears'!E$71:E86)/1000)-SUM(I$72:I85)</f>
        <v>0</v>
      </c>
      <c r="J86" s="507"/>
      <c r="K86" s="508">
        <f t="shared" si="0"/>
        <v>0</v>
      </c>
      <c r="L86" s="508"/>
      <c r="M86" s="508"/>
      <c r="N86" s="507">
        <f>((DSUM('4.1_Electricitat Illes Balears'!$E$20:$J$42,"emisiones",'6.1_Resultats Illes Balears'!E$71:E86)+DSUM('4.1_Electricitat Illes Balears'!$E$50:$K$70,"emisiones",'6.1_Resultats Illes Balears'!E$71:E86))/1000)-SUM(N$72:N85)</f>
        <v>0</v>
      </c>
      <c r="O86" s="508"/>
      <c r="P86" s="508">
        <f t="shared" si="1"/>
        <v>0</v>
      </c>
      <c r="Q86" s="508"/>
      <c r="R86" s="508"/>
      <c r="S86" s="73"/>
      <c r="T86" s="73"/>
      <c r="U86" s="73"/>
    </row>
    <row r="87" spans="1:21" ht="16.5" customHeight="1" x14ac:dyDescent="0.3">
      <c r="A87" s="198"/>
      <c r="B87" s="195"/>
      <c r="C87" s="73"/>
      <c r="D87" s="73"/>
      <c r="E87" s="197" t="str">
        <f>IF(Dades!E677="","",Dades!E677)</f>
        <v/>
      </c>
      <c r="F87" s="396">
        <f>(DSUM('1_Combustibles fòssils'!$E$17:$N$39,"emissions",'6.1_Resultats Illes Balears'!E$71:E87)/1000)-SUM(F$72:F86)</f>
        <v>0</v>
      </c>
      <c r="G87" s="396">
        <f>((DSUM('1_Combustibles fòssils'!$E$47:$U$67,"emissions1",'6.1_Resultats Illes Balears'!E$71:E87)+DSUM('1_Combustibles fòssils'!$E$47:$U$67,"emissions2",'6.1_Resultats Illes Balears'!E$71:E87))/1000)-SUM(G$72:G86)</f>
        <v>0</v>
      </c>
      <c r="H87" s="396">
        <f>(DSUM('2_Fluorats'!$E$11:$P$33,"emissions",'6.1_Resultats Illes Balears'!E$71:E87)/1000)-SUM(H$72:H86)</f>
        <v>0</v>
      </c>
      <c r="I87" s="507">
        <f>(DSUM('3_Emissions processos'!$E$13:$K$35,"emissions",'6.1_Resultats Illes Balears'!E$71:E87)/1000)-SUM(I$72:I86)</f>
        <v>0</v>
      </c>
      <c r="J87" s="507"/>
      <c r="K87" s="508">
        <f t="shared" si="0"/>
        <v>0</v>
      </c>
      <c r="L87" s="508"/>
      <c r="M87" s="508"/>
      <c r="N87" s="507">
        <f>((DSUM('4.1_Electricitat Illes Balears'!$E$20:$J$42,"emisiones",'6.1_Resultats Illes Balears'!E$71:E87)+DSUM('4.1_Electricitat Illes Balears'!$E$50:$K$70,"emisiones",'6.1_Resultats Illes Balears'!E$71:E87))/1000)-SUM(N$72:N86)</f>
        <v>0</v>
      </c>
      <c r="O87" s="508"/>
      <c r="P87" s="508">
        <f t="shared" si="1"/>
        <v>0</v>
      </c>
      <c r="Q87" s="508"/>
      <c r="R87" s="508"/>
      <c r="S87" s="73"/>
      <c r="T87" s="73"/>
      <c r="U87" s="73"/>
    </row>
    <row r="88" spans="1:21" ht="16.5" customHeight="1" x14ac:dyDescent="0.3">
      <c r="A88" s="198"/>
      <c r="B88" s="195"/>
      <c r="C88" s="73"/>
      <c r="D88" s="73"/>
      <c r="E88" s="197" t="str">
        <f>IF(Dades!E678="","",Dades!E678)</f>
        <v/>
      </c>
      <c r="F88" s="396">
        <f>(DSUM('1_Combustibles fòssils'!$E$17:$N$39,"emissions",'6.1_Resultats Illes Balears'!E$71:E88)/1000)-SUM(F$72:F87)</f>
        <v>0</v>
      </c>
      <c r="G88" s="396">
        <f>((DSUM('1_Combustibles fòssils'!$E$47:$U$67,"emissions1",'6.1_Resultats Illes Balears'!E$71:E88)+DSUM('1_Combustibles fòssils'!$E$47:$U$67,"emissions2",'6.1_Resultats Illes Balears'!E$71:E88))/1000)-SUM(G$72:G87)</f>
        <v>0</v>
      </c>
      <c r="H88" s="396">
        <f>(DSUM('2_Fluorats'!$E$11:$P$33,"emissions",'6.1_Resultats Illes Balears'!E$71:E88)/1000)-SUM(H$72:H87)</f>
        <v>0</v>
      </c>
      <c r="I88" s="507">
        <f>(DSUM('3_Emissions processos'!$E$13:$K$35,"emissions",'6.1_Resultats Illes Balears'!E$71:E88)/1000)-SUM(I$72:I87)</f>
        <v>0</v>
      </c>
      <c r="J88" s="507"/>
      <c r="K88" s="508">
        <f t="shared" si="0"/>
        <v>0</v>
      </c>
      <c r="L88" s="508"/>
      <c r="M88" s="508"/>
      <c r="N88" s="507">
        <f>((DSUM('4.1_Electricitat Illes Balears'!$E$20:$J$42,"emisiones",'6.1_Resultats Illes Balears'!E$71:E88)+DSUM('4.1_Electricitat Illes Balears'!$E$50:$K$70,"emisiones",'6.1_Resultats Illes Balears'!E$71:E88))/1000)-SUM(N$72:N87)</f>
        <v>0</v>
      </c>
      <c r="O88" s="508"/>
      <c r="P88" s="508">
        <f t="shared" si="1"/>
        <v>0</v>
      </c>
      <c r="Q88" s="508"/>
      <c r="R88" s="508"/>
      <c r="S88" s="73"/>
      <c r="T88" s="73"/>
      <c r="U88" s="73"/>
    </row>
    <row r="89" spans="1:21" x14ac:dyDescent="0.3">
      <c r="A89" s="198"/>
      <c r="B89" s="195"/>
      <c r="C89" s="73"/>
      <c r="D89" s="73"/>
      <c r="E89" s="197" t="str">
        <f>IF(Dades!E679="","",Dades!E679)</f>
        <v/>
      </c>
      <c r="F89" s="396">
        <f>(DSUM('1_Combustibles fòssils'!$E$17:$N$39,"emissions",'6.1_Resultats Illes Balears'!E$71:E89)/1000)-SUM(F$72:F88)</f>
        <v>0</v>
      </c>
      <c r="G89" s="396">
        <f>((DSUM('1_Combustibles fòssils'!$E$47:$U$67,"emissions1",'6.1_Resultats Illes Balears'!E$71:E89)+DSUM('1_Combustibles fòssils'!$E$47:$U$67,"emissions2",'6.1_Resultats Illes Balears'!E$71:E89))/1000)-SUM(G$72:G88)</f>
        <v>0</v>
      </c>
      <c r="H89" s="396">
        <f>(DSUM('2_Fluorats'!$E$11:$P$33,"emissions",'6.1_Resultats Illes Balears'!E$71:E89)/1000)-SUM(H$72:H88)</f>
        <v>0</v>
      </c>
      <c r="I89" s="507">
        <f>(DSUM('3_Emissions processos'!$E$13:$K$35,"emissions",'6.1_Resultats Illes Balears'!E$71:E89)/1000)-SUM(I$72:I88)</f>
        <v>0</v>
      </c>
      <c r="J89" s="507"/>
      <c r="K89" s="508">
        <f t="shared" si="0"/>
        <v>0</v>
      </c>
      <c r="L89" s="508"/>
      <c r="M89" s="508"/>
      <c r="N89" s="507">
        <f>((DSUM('4.1_Electricitat Illes Balears'!$E$20:$J$42,"emisiones",'6.1_Resultats Illes Balears'!E$71:E89)+DSUM('4.1_Electricitat Illes Balears'!$E$50:$K$70,"emisiones",'6.1_Resultats Illes Balears'!E$71:E89))/1000)-SUM(N$72:N88)</f>
        <v>0</v>
      </c>
      <c r="O89" s="508"/>
      <c r="P89" s="508">
        <f t="shared" si="1"/>
        <v>0</v>
      </c>
      <c r="Q89" s="508"/>
      <c r="R89" s="508"/>
      <c r="S89" s="73"/>
      <c r="T89" s="73"/>
      <c r="U89" s="73"/>
    </row>
    <row r="90" spans="1:21" ht="16.5" customHeight="1" x14ac:dyDescent="0.3">
      <c r="A90" s="198"/>
      <c r="B90" s="195"/>
      <c r="C90" s="73"/>
      <c r="D90" s="73"/>
      <c r="E90" s="197" t="str">
        <f>IF(Dades!E680="","",Dades!E680)</f>
        <v/>
      </c>
      <c r="F90" s="396">
        <f>(DSUM('1_Combustibles fòssils'!$E$17:$N$39,"emissions",'6.1_Resultats Illes Balears'!E$71:E90)/1000)-SUM(F$72:F89)</f>
        <v>0</v>
      </c>
      <c r="G90" s="396">
        <f>((DSUM('1_Combustibles fòssils'!$E$47:$U$67,"emissions1",'6.1_Resultats Illes Balears'!E$71:E90)+DSUM('1_Combustibles fòssils'!$E$47:$U$67,"emissions2",'6.1_Resultats Illes Balears'!E$71:E90))/1000)-SUM(G$72:G89)</f>
        <v>0</v>
      </c>
      <c r="H90" s="396">
        <f>(DSUM('2_Fluorats'!$E$11:$P$33,"emissions",'6.1_Resultats Illes Balears'!E$71:E90)/1000)-SUM(H$72:H89)</f>
        <v>0</v>
      </c>
      <c r="I90" s="507">
        <f>(DSUM('3_Emissions processos'!$E$13:$K$35,"emissions",'6.1_Resultats Illes Balears'!E$71:E90)/1000)-SUM(I$72:I89)</f>
        <v>0</v>
      </c>
      <c r="J90" s="507"/>
      <c r="K90" s="508">
        <f t="shared" si="0"/>
        <v>0</v>
      </c>
      <c r="L90" s="508"/>
      <c r="M90" s="508"/>
      <c r="N90" s="507">
        <f>((DSUM('4.1_Electricitat Illes Balears'!$E$20:$J$42,"emisiones",'6.1_Resultats Illes Balears'!E$71:E90)+DSUM('4.1_Electricitat Illes Balears'!$E$50:$K$70,"emisiones",'6.1_Resultats Illes Balears'!E$71:E90))/1000)-SUM(N$72:N89)</f>
        <v>0</v>
      </c>
      <c r="O90" s="508"/>
      <c r="P90" s="508">
        <f t="shared" si="1"/>
        <v>0</v>
      </c>
      <c r="Q90" s="508"/>
      <c r="R90" s="508"/>
      <c r="S90" s="73"/>
      <c r="T90" s="73"/>
      <c r="U90" s="73"/>
    </row>
    <row r="91" spans="1:21" x14ac:dyDescent="0.3">
      <c r="A91" s="198"/>
      <c r="B91" s="195"/>
      <c r="C91" s="73"/>
      <c r="D91" s="73"/>
      <c r="E91" s="197" t="str">
        <f>IF(Dades!E681="","",Dades!E681)</f>
        <v/>
      </c>
      <c r="F91" s="396">
        <f>(DSUM('1_Combustibles fòssils'!$E$17:$N$39,"emissions",'6.1_Resultats Illes Balears'!E$71:E91)/1000)-SUM(F$72:F90)</f>
        <v>0</v>
      </c>
      <c r="G91" s="396">
        <f>((DSUM('1_Combustibles fòssils'!$E$47:$U$67,"emissions1",'6.1_Resultats Illes Balears'!E$71:E91)+DSUM('1_Combustibles fòssils'!$E$47:$U$67,"emissions2",'6.1_Resultats Illes Balears'!E$71:E91))/1000)-SUM(G$72:G90)</f>
        <v>0</v>
      </c>
      <c r="H91" s="396">
        <f>(DSUM('2_Fluorats'!$E$11:$P$33,"emissions",'6.1_Resultats Illes Balears'!E$71:E91)/1000)-SUM(H$72:H90)</f>
        <v>0</v>
      </c>
      <c r="I91" s="507">
        <f>(DSUM('3_Emissions processos'!$E$13:$K$35,"emissions",'6.1_Resultats Illes Balears'!E$71:E91)/1000)-SUM(I$72:I90)</f>
        <v>0</v>
      </c>
      <c r="J91" s="507"/>
      <c r="K91" s="508">
        <f t="shared" si="0"/>
        <v>0</v>
      </c>
      <c r="L91" s="508"/>
      <c r="M91" s="508"/>
      <c r="N91" s="507">
        <f>((DSUM('4.1_Electricitat Illes Balears'!$E$20:$J$42,"emisiones",'6.1_Resultats Illes Balears'!E$71:E91)+DSUM('4.1_Electricitat Illes Balears'!$E$50:$K$70,"emisiones",'6.1_Resultats Illes Balears'!E$71:E91))/1000)-SUM(N$72:N90)</f>
        <v>0</v>
      </c>
      <c r="O91" s="508"/>
      <c r="P91" s="508">
        <f t="shared" si="1"/>
        <v>0</v>
      </c>
      <c r="Q91" s="508"/>
      <c r="R91" s="508"/>
      <c r="S91" s="73"/>
      <c r="T91" s="73"/>
      <c r="U91" s="73"/>
    </row>
    <row r="92" spans="1:21" x14ac:dyDescent="0.3">
      <c r="A92" s="198"/>
      <c r="B92" s="195"/>
      <c r="C92" s="73"/>
      <c r="D92" s="73"/>
      <c r="E92" s="197" t="str">
        <f>IF(Dades!E682="","",Dades!E682)</f>
        <v/>
      </c>
      <c r="F92" s="396">
        <f>(DSUM('1_Combustibles fòssils'!$E$17:$N$39,"emissions",'6.1_Resultats Illes Balears'!E$71:E92)/1000)-SUM(F$72:F91)</f>
        <v>0</v>
      </c>
      <c r="G92" s="396">
        <f>((DSUM('1_Combustibles fòssils'!$E$47:$U$67,"emissions1",'6.1_Resultats Illes Balears'!E$71:E92)+DSUM('1_Combustibles fòssils'!$E$47:$U$67,"emissions2",'6.1_Resultats Illes Balears'!E$71:E92))/1000)-SUM(G$72:G91)</f>
        <v>0</v>
      </c>
      <c r="H92" s="396">
        <f>(DSUM('2_Fluorats'!$E$11:$P$33,"emissions",'6.1_Resultats Illes Balears'!E$71:E92)/1000)-SUM(H$72:H91)</f>
        <v>0</v>
      </c>
      <c r="I92" s="507">
        <f>(DSUM('3_Emissions processos'!$E$13:$K$35,"emissions",'6.1_Resultats Illes Balears'!E$71:E92)/1000)-SUM(I$72:I91)</f>
        <v>0</v>
      </c>
      <c r="J92" s="507"/>
      <c r="K92" s="508">
        <f t="shared" si="0"/>
        <v>0</v>
      </c>
      <c r="L92" s="508"/>
      <c r="M92" s="508"/>
      <c r="N92" s="507">
        <f>((DSUM('4.1_Electricitat Illes Balears'!$E$20:$J$42,"emisiones",'6.1_Resultats Illes Balears'!E$71:E92)+DSUM('4.1_Electricitat Illes Balears'!$E$50:$K$70,"emisiones",'6.1_Resultats Illes Balears'!E$71:E92))/1000)-SUM(N$72:N91)</f>
        <v>0</v>
      </c>
      <c r="O92" s="508"/>
      <c r="P92" s="508">
        <f t="shared" si="1"/>
        <v>0</v>
      </c>
      <c r="Q92" s="508"/>
      <c r="R92" s="508"/>
      <c r="S92" s="73"/>
      <c r="T92" s="73"/>
      <c r="U92" s="73"/>
    </row>
    <row r="93" spans="1:21" x14ac:dyDescent="0.3">
      <c r="A93" s="198"/>
      <c r="B93" s="195"/>
      <c r="C93" s="73"/>
      <c r="D93" s="73"/>
      <c r="E93" s="197" t="str">
        <f>IF(Dades!E683="","",Dades!E683)</f>
        <v/>
      </c>
      <c r="F93" s="396">
        <f>(DSUM('1_Combustibles fòssils'!$E$17:$N$39,"emissions",'6.1_Resultats Illes Balears'!E$71:E93)/1000)-SUM(F$72:F92)</f>
        <v>0</v>
      </c>
      <c r="G93" s="396">
        <f>((DSUM('1_Combustibles fòssils'!$E$47:$U$67,"emissions1",'6.1_Resultats Illes Balears'!E$71:E93)+DSUM('1_Combustibles fòssils'!$E$47:$U$67,"emissions2",'6.1_Resultats Illes Balears'!E$71:E93))/1000)-SUM(G$72:G92)</f>
        <v>0</v>
      </c>
      <c r="H93" s="396">
        <f>(DSUM('2_Fluorats'!$E$11:$P$33,"emissions",'6.1_Resultats Illes Balears'!E$71:E93)/1000)-SUM(H$72:H92)</f>
        <v>0</v>
      </c>
      <c r="I93" s="507">
        <f>(DSUM('3_Emissions processos'!$E$13:$K$35,"emissions",'6.1_Resultats Illes Balears'!E$71:E93)/1000)-SUM(I$72:I92)</f>
        <v>0</v>
      </c>
      <c r="J93" s="507"/>
      <c r="K93" s="508">
        <f t="shared" si="0"/>
        <v>0</v>
      </c>
      <c r="L93" s="508"/>
      <c r="M93" s="508"/>
      <c r="N93" s="507">
        <f>((DSUM('4.1_Electricitat Illes Balears'!$E$20:$J$42,"emisiones",'6.1_Resultats Illes Balears'!E$71:E93)+DSUM('4.1_Electricitat Illes Balears'!$E$50:$K$70,"emisiones",'6.1_Resultats Illes Balears'!E$71:E93))/1000)-SUM(N$72:N92)</f>
        <v>0</v>
      </c>
      <c r="O93" s="508"/>
      <c r="P93" s="508">
        <f t="shared" si="1"/>
        <v>0</v>
      </c>
      <c r="Q93" s="508"/>
      <c r="R93" s="508"/>
      <c r="S93" s="73"/>
      <c r="T93" s="73"/>
      <c r="U93" s="73"/>
    </row>
    <row r="94" spans="1:21" x14ac:dyDescent="0.3">
      <c r="A94" s="198"/>
      <c r="B94" s="195"/>
      <c r="C94" s="73"/>
      <c r="D94" s="73"/>
      <c r="E94" s="197" t="str">
        <f>IF(Dades!E684="","",Dades!E684)</f>
        <v/>
      </c>
      <c r="F94" s="396">
        <f>(DSUM('1_Combustibles fòssils'!$E$17:$N$39,"emissions",'6.1_Resultats Illes Balears'!E$71:E94)/1000)-SUM(F$72:F93)</f>
        <v>0</v>
      </c>
      <c r="G94" s="396">
        <f>((DSUM('1_Combustibles fòssils'!$E$47:$U$67,"emissions1",'6.1_Resultats Illes Balears'!E$71:E94)+DSUM('1_Combustibles fòssils'!$E$47:$U$67,"emissions2",'6.1_Resultats Illes Balears'!E$71:E94))/1000)-SUM(G$72:G93)</f>
        <v>0</v>
      </c>
      <c r="H94" s="396">
        <f>(DSUM('2_Fluorats'!$E$11:$P$33,"emissions",'6.1_Resultats Illes Balears'!E$71:E94)/1000)-SUM(H$72:H93)</f>
        <v>0</v>
      </c>
      <c r="I94" s="507">
        <f>(DSUM('3_Emissions processos'!$E$13:$K$35,"emissions",'6.1_Resultats Illes Balears'!E$71:E94)/1000)-SUM(I$72:I93)</f>
        <v>0</v>
      </c>
      <c r="J94" s="507"/>
      <c r="K94" s="508">
        <f t="shared" si="0"/>
        <v>0</v>
      </c>
      <c r="L94" s="508"/>
      <c r="M94" s="508"/>
      <c r="N94" s="507">
        <f>((DSUM('4.1_Electricitat Illes Balears'!$E$20:$J$42,"emisiones",'6.1_Resultats Illes Balears'!E$71:E94)+DSUM('4.1_Electricitat Illes Balears'!$E$50:$K$70,"emisiones",'6.1_Resultats Illes Balears'!E$71:E94))/1000)-SUM(N$72:N93)</f>
        <v>0</v>
      </c>
      <c r="O94" s="508"/>
      <c r="P94" s="508">
        <f t="shared" si="1"/>
        <v>0</v>
      </c>
      <c r="Q94" s="508"/>
      <c r="R94" s="508"/>
      <c r="S94" s="73"/>
      <c r="T94" s="73"/>
      <c r="U94" s="73"/>
    </row>
    <row r="95" spans="1:21" x14ac:dyDescent="0.3">
      <c r="A95" s="198"/>
      <c r="B95" s="195"/>
      <c r="C95" s="73"/>
      <c r="D95" s="73"/>
      <c r="E95" s="197" t="str">
        <f>IF(Dades!E685="","",Dades!E685)</f>
        <v/>
      </c>
      <c r="F95" s="396">
        <f>(DSUM('1_Combustibles fòssils'!$E$17:$N$39,"emissions",'6.1_Resultats Illes Balears'!E$71:E95)/1000)-SUM(F$72:F94)</f>
        <v>0</v>
      </c>
      <c r="G95" s="396">
        <f>((DSUM('1_Combustibles fòssils'!$E$47:$U$67,"emissions1",'6.1_Resultats Illes Balears'!E$71:E95)+DSUM('1_Combustibles fòssils'!$E$47:$U$67,"emissions2",'6.1_Resultats Illes Balears'!E$71:E95))/1000)-SUM(G$72:G94)</f>
        <v>0</v>
      </c>
      <c r="H95" s="396">
        <f>(DSUM('2_Fluorats'!$E$11:$P$33,"emissions",'6.1_Resultats Illes Balears'!E$71:E95)/1000)-SUM(H$72:H94)</f>
        <v>0</v>
      </c>
      <c r="I95" s="507">
        <f>(DSUM('3_Emissions processos'!$E$13:$K$35,"emissions",'6.1_Resultats Illes Balears'!E$71:E95)/1000)-SUM(I$72:I94)</f>
        <v>0</v>
      </c>
      <c r="J95" s="507"/>
      <c r="K95" s="508">
        <f t="shared" si="0"/>
        <v>0</v>
      </c>
      <c r="L95" s="508"/>
      <c r="M95" s="508"/>
      <c r="N95" s="507">
        <f>((DSUM('4.1_Electricitat Illes Balears'!$E$20:$J$42,"emisiones",'6.1_Resultats Illes Balears'!E$71:E95)+DSUM('4.1_Electricitat Illes Balears'!$E$50:$K$70,"emisiones",'6.1_Resultats Illes Balears'!E$71:E95))/1000)-SUM(N$72:N94)</f>
        <v>0</v>
      </c>
      <c r="O95" s="508"/>
      <c r="P95" s="508">
        <f t="shared" si="1"/>
        <v>0</v>
      </c>
      <c r="Q95" s="508"/>
      <c r="R95" s="508"/>
      <c r="S95" s="73"/>
      <c r="T95" s="73"/>
      <c r="U95" s="73"/>
    </row>
    <row r="96" spans="1:21" ht="16.5" customHeight="1" x14ac:dyDescent="0.3">
      <c r="A96" s="198"/>
      <c r="B96" s="195"/>
      <c r="C96" s="73"/>
      <c r="D96" s="73"/>
      <c r="E96" s="197" t="str">
        <f>IF(Dades!E686="","",Dades!E686)</f>
        <v/>
      </c>
      <c r="F96" s="396">
        <f>(DSUM('1_Combustibles fòssils'!$E$17:$N$39,"emissions",'6.1_Resultats Illes Balears'!E$71:E96)/1000)-SUM(F$72:F95)</f>
        <v>0</v>
      </c>
      <c r="G96" s="396">
        <f>((DSUM('1_Combustibles fòssils'!$E$47:$U$67,"emissions1",'6.1_Resultats Illes Balears'!E$71:E96)+DSUM('1_Combustibles fòssils'!$E$47:$U$67,"emissions2",'6.1_Resultats Illes Balears'!E$71:E96))/1000)-SUM(G$72:G95)</f>
        <v>0</v>
      </c>
      <c r="H96" s="396">
        <f>(DSUM('2_Fluorats'!$E$11:$P$33,"emissions",'6.1_Resultats Illes Balears'!E$71:E96)/1000)-SUM(H$72:H95)</f>
        <v>0</v>
      </c>
      <c r="I96" s="507">
        <f>(DSUM('3_Emissions processos'!$E$13:$K$35,"emissions",'6.1_Resultats Illes Balears'!E$71:E96)/1000)-SUM(I$72:I95)</f>
        <v>0</v>
      </c>
      <c r="J96" s="507"/>
      <c r="K96" s="508">
        <f t="shared" si="0"/>
        <v>0</v>
      </c>
      <c r="L96" s="508"/>
      <c r="M96" s="508"/>
      <c r="N96" s="507">
        <f>((DSUM('4.1_Electricitat Illes Balears'!$E$20:$J$42,"emisiones",'6.1_Resultats Illes Balears'!E$71:E96)+DSUM('4.1_Electricitat Illes Balears'!$E$50:$K$70,"emisiones",'6.1_Resultats Illes Balears'!E$71:E96))/1000)-SUM(N$72:N95)</f>
        <v>0</v>
      </c>
      <c r="O96" s="508"/>
      <c r="P96" s="508">
        <f t="shared" si="1"/>
        <v>0</v>
      </c>
      <c r="Q96" s="508"/>
      <c r="R96" s="508"/>
      <c r="S96" s="73"/>
      <c r="T96" s="73"/>
      <c r="U96" s="73"/>
    </row>
    <row r="97" spans="1:21" ht="16.5" customHeight="1" x14ac:dyDescent="0.3">
      <c r="A97" s="198"/>
      <c r="B97" s="195"/>
      <c r="C97" s="73"/>
      <c r="D97" s="73"/>
      <c r="E97" s="197" t="str">
        <f>IF(Dades!E687="","",Dades!E687)</f>
        <v/>
      </c>
      <c r="F97" s="396">
        <f>(DSUM('1_Combustibles fòssils'!$E$17:$N$39,"emissions",'6.1_Resultats Illes Balears'!E$71:E97)/1000)-SUM(F$72:F96)</f>
        <v>0</v>
      </c>
      <c r="G97" s="396">
        <f>((DSUM('1_Combustibles fòssils'!$E$47:$U$67,"emissions1",'6.1_Resultats Illes Balears'!E$71:E97)+DSUM('1_Combustibles fòssils'!$E$47:$U$67,"emissions2",'6.1_Resultats Illes Balears'!E$71:E97))/1000)-SUM(G$72:G96)</f>
        <v>0</v>
      </c>
      <c r="H97" s="396">
        <f>(DSUM('2_Fluorats'!$E$11:$P$33,"emissions",'6.1_Resultats Illes Balears'!E$71:E97)/1000)-SUM(H$72:H96)</f>
        <v>0</v>
      </c>
      <c r="I97" s="507">
        <f>(DSUM('3_Emissions processos'!$E$13:$K$35,"emissions",'6.1_Resultats Illes Balears'!E$71:E97)/1000)-SUM(I$72:I96)</f>
        <v>0</v>
      </c>
      <c r="J97" s="507"/>
      <c r="K97" s="508">
        <f t="shared" si="0"/>
        <v>0</v>
      </c>
      <c r="L97" s="508"/>
      <c r="M97" s="508"/>
      <c r="N97" s="507">
        <f>((DSUM('4.1_Electricitat Illes Balears'!$E$20:$J$42,"emisiones",'6.1_Resultats Illes Balears'!E$71:E97)+DSUM('4.1_Electricitat Illes Balears'!$E$50:$K$70,"emisiones",'6.1_Resultats Illes Balears'!E$71:E97))/1000)-SUM(N$72:N96)</f>
        <v>0</v>
      </c>
      <c r="O97" s="508"/>
      <c r="P97" s="508">
        <f t="shared" si="1"/>
        <v>0</v>
      </c>
      <c r="Q97" s="508"/>
      <c r="R97" s="508"/>
      <c r="S97" s="73"/>
      <c r="T97" s="73"/>
      <c r="U97" s="73"/>
    </row>
    <row r="98" spans="1:21" ht="16.5" customHeight="1" x14ac:dyDescent="0.3">
      <c r="A98" s="198"/>
      <c r="B98" s="195"/>
      <c r="C98" s="73"/>
      <c r="D98" s="73"/>
      <c r="E98" s="197" t="str">
        <f>IF(Dades!E688="","",Dades!E688)</f>
        <v/>
      </c>
      <c r="F98" s="396">
        <f>(DSUM('1_Combustibles fòssils'!$E$17:$N$39,"emissions",'6.1_Resultats Illes Balears'!E$71:E98)/1000)-SUM(F$72:F97)</f>
        <v>0</v>
      </c>
      <c r="G98" s="396">
        <f>((DSUM('1_Combustibles fòssils'!$E$47:$U$67,"emissions1",'6.1_Resultats Illes Balears'!E$71:E98)+DSUM('1_Combustibles fòssils'!$E$47:$U$67,"emissions2",'6.1_Resultats Illes Balears'!E$71:E98))/1000)-SUM(G$72:G97)</f>
        <v>0</v>
      </c>
      <c r="H98" s="396">
        <f>(DSUM('2_Fluorats'!$E$11:$P$33,"emissions",'6.1_Resultats Illes Balears'!E$71:E98)/1000)-SUM(H$72:H97)</f>
        <v>0</v>
      </c>
      <c r="I98" s="507">
        <f>(DSUM('3_Emissions processos'!$E$13:$K$35,"emissions",'6.1_Resultats Illes Balears'!E$71:E98)/1000)-SUM(I$72:I97)</f>
        <v>0</v>
      </c>
      <c r="J98" s="507"/>
      <c r="K98" s="508">
        <f t="shared" si="0"/>
        <v>0</v>
      </c>
      <c r="L98" s="508"/>
      <c r="M98" s="508"/>
      <c r="N98" s="507">
        <f>((DSUM('4.1_Electricitat Illes Balears'!$E$20:$J$42,"emisiones",'6.1_Resultats Illes Balears'!E$71:E98)+DSUM('4.1_Electricitat Illes Balears'!$E$50:$K$70,"emisiones",'6.1_Resultats Illes Balears'!E$71:E98))/1000)-SUM(N$72:N97)</f>
        <v>0</v>
      </c>
      <c r="O98" s="508"/>
      <c r="P98" s="508">
        <f t="shared" si="1"/>
        <v>0</v>
      </c>
      <c r="Q98" s="508"/>
      <c r="R98" s="508"/>
      <c r="S98" s="73"/>
      <c r="T98" s="73"/>
      <c r="U98" s="73"/>
    </row>
    <row r="99" spans="1:21" ht="16.5" customHeight="1" x14ac:dyDescent="0.3">
      <c r="A99" s="198"/>
      <c r="B99" s="195"/>
      <c r="C99" s="73"/>
      <c r="D99" s="73"/>
      <c r="E99" s="197" t="str">
        <f>IF(Dades!E689="","",Dades!E689)</f>
        <v/>
      </c>
      <c r="F99" s="396">
        <f>(DSUM('1_Combustibles fòssils'!$E$17:$N$39,"emissions",'6.1_Resultats Illes Balears'!E$71:E99)/1000)-SUM(F$72:F98)</f>
        <v>0</v>
      </c>
      <c r="G99" s="396">
        <f>((DSUM('1_Combustibles fòssils'!$E$47:$U$67,"emissions1",'6.1_Resultats Illes Balears'!E$71:E99)+DSUM('1_Combustibles fòssils'!$E$47:$U$67,"emissions2",'6.1_Resultats Illes Balears'!E$71:E99))/1000)-SUM(G$72:G98)</f>
        <v>0</v>
      </c>
      <c r="H99" s="396">
        <f>(DSUM('2_Fluorats'!$E$11:$P$33,"emissions",'6.1_Resultats Illes Balears'!E$71:E99)/1000)-SUM(H$72:H98)</f>
        <v>0</v>
      </c>
      <c r="I99" s="507">
        <f>(DSUM('3_Emissions processos'!$E$13:$K$35,"emissions",'6.1_Resultats Illes Balears'!E$71:E99)/1000)-SUM(I$72:I98)</f>
        <v>0</v>
      </c>
      <c r="J99" s="507"/>
      <c r="K99" s="508">
        <f t="shared" si="0"/>
        <v>0</v>
      </c>
      <c r="L99" s="508"/>
      <c r="M99" s="508"/>
      <c r="N99" s="507">
        <f>((DSUM('4.1_Electricitat Illes Balears'!$E$20:$J$42,"emisiones",'6.1_Resultats Illes Balears'!E$71:E99)+DSUM('4.1_Electricitat Illes Balears'!$E$50:$K$70,"emisiones",'6.1_Resultats Illes Balears'!E$71:E99))/1000)-SUM(N$72:N98)</f>
        <v>0</v>
      </c>
      <c r="O99" s="508"/>
      <c r="P99" s="508">
        <f t="shared" si="1"/>
        <v>0</v>
      </c>
      <c r="Q99" s="508"/>
      <c r="R99" s="508"/>
      <c r="S99" s="73"/>
      <c r="T99" s="73"/>
      <c r="U99" s="73"/>
    </row>
    <row r="100" spans="1:21" ht="16.5" customHeight="1" x14ac:dyDescent="0.3">
      <c r="A100" s="198"/>
      <c r="B100" s="195"/>
      <c r="C100" s="73"/>
      <c r="D100" s="73"/>
      <c r="E100" s="197" t="str">
        <f>IF(Dades!E690="","",Dades!E690)</f>
        <v/>
      </c>
      <c r="F100" s="396">
        <f>(DSUM('1_Combustibles fòssils'!$E$17:$N$39,"emissions",'6.1_Resultats Illes Balears'!E$71:E100)/1000)-SUM(F$72:F99)</f>
        <v>0</v>
      </c>
      <c r="G100" s="396">
        <f>((DSUM('1_Combustibles fòssils'!$E$47:$U$67,"emissions1",'6.1_Resultats Illes Balears'!E$71:E100)+DSUM('1_Combustibles fòssils'!$E$47:$U$67,"emissions2",'6.1_Resultats Illes Balears'!E$71:E100))/1000)-SUM(G$72:G99)</f>
        <v>0</v>
      </c>
      <c r="H100" s="396">
        <f>(DSUM('2_Fluorats'!$E$11:$P$33,"emissions",'6.1_Resultats Illes Balears'!E$71:E100)/1000)-SUM(H$72:H99)</f>
        <v>0</v>
      </c>
      <c r="I100" s="507">
        <f>(DSUM('3_Emissions processos'!$E$13:$K$35,"emissions",'6.1_Resultats Illes Balears'!E$71:E100)/1000)-SUM(I$72:I99)</f>
        <v>0</v>
      </c>
      <c r="J100" s="507"/>
      <c r="K100" s="508">
        <f t="shared" si="0"/>
        <v>0</v>
      </c>
      <c r="L100" s="508"/>
      <c r="M100" s="508"/>
      <c r="N100" s="507">
        <f>((DSUM('4.1_Electricitat Illes Balears'!$E$20:$J$42,"emisiones",'6.1_Resultats Illes Balears'!E$71:E100)+DSUM('4.1_Electricitat Illes Balears'!$E$50:$K$70,"emisiones",'6.1_Resultats Illes Balears'!E$71:E100))/1000)-SUM(N$72:N99)</f>
        <v>0</v>
      </c>
      <c r="O100" s="508"/>
      <c r="P100" s="508">
        <f t="shared" si="1"/>
        <v>0</v>
      </c>
      <c r="Q100" s="508"/>
      <c r="R100" s="508"/>
      <c r="S100" s="73"/>
      <c r="T100" s="73"/>
      <c r="U100" s="73"/>
    </row>
    <row r="101" spans="1:21" x14ac:dyDescent="0.3">
      <c r="A101" s="198"/>
      <c r="B101" s="195"/>
      <c r="C101" s="73"/>
      <c r="D101" s="73"/>
      <c r="E101" s="197" t="str">
        <f>IF(Dades!E691="","",Dades!E691)</f>
        <v/>
      </c>
      <c r="F101" s="396">
        <f>(DSUM('1_Combustibles fòssils'!$E$17:$N$39,"emissions",'6.1_Resultats Illes Balears'!E$71:E101)/1000)-SUM(F$72:F100)</f>
        <v>0</v>
      </c>
      <c r="G101" s="396">
        <f>((DSUM('1_Combustibles fòssils'!$E$47:$U$67,"emissions1",'6.1_Resultats Illes Balears'!E$71:E101)+DSUM('1_Combustibles fòssils'!$E$47:$U$67,"emissions2",'6.1_Resultats Illes Balears'!E$71:E101))/1000)-SUM(G$72:G100)</f>
        <v>0</v>
      </c>
      <c r="H101" s="396">
        <f>(DSUM('2_Fluorats'!$E$11:$P$33,"emissions",'6.1_Resultats Illes Balears'!E$71:E101)/1000)-SUM(H$72:H100)</f>
        <v>0</v>
      </c>
      <c r="I101" s="507">
        <f>(DSUM('3_Emissions processos'!$E$13:$K$35,"emissions",'6.1_Resultats Illes Balears'!E$71:E101)/1000)-SUM(I$72:I100)</f>
        <v>0</v>
      </c>
      <c r="J101" s="507"/>
      <c r="K101" s="508">
        <f t="shared" si="0"/>
        <v>0</v>
      </c>
      <c r="L101" s="508"/>
      <c r="M101" s="508"/>
      <c r="N101" s="507">
        <f>((DSUM('4.1_Electricitat Illes Balears'!$E$20:$J$42,"emisiones",'6.1_Resultats Illes Balears'!E$71:E101)+DSUM('4.1_Electricitat Illes Balears'!$E$50:$K$70,"emisiones",'6.1_Resultats Illes Balears'!E$71:E101))/1000)-SUM(N$72:N100)</f>
        <v>0</v>
      </c>
      <c r="O101" s="508"/>
      <c r="P101" s="508">
        <f t="shared" si="1"/>
        <v>0</v>
      </c>
      <c r="Q101" s="508"/>
      <c r="R101" s="508"/>
      <c r="S101" s="73"/>
      <c r="T101" s="73"/>
      <c r="U101" s="73"/>
    </row>
    <row r="102" spans="1:21" ht="16.5" customHeight="1" x14ac:dyDescent="0.3">
      <c r="A102" s="198"/>
      <c r="B102" s="195"/>
      <c r="C102" s="73"/>
      <c r="D102" s="73"/>
      <c r="E102" s="197" t="str">
        <f>IF(Dades!E692="","",Dades!E692)</f>
        <v/>
      </c>
      <c r="F102" s="396">
        <f>(DSUM('1_Combustibles fòssils'!$E$17:$N$39,"emissions",'6.1_Resultats Illes Balears'!E$71:E102)/1000)-SUM(F$72:F101)</f>
        <v>0</v>
      </c>
      <c r="G102" s="396">
        <f>((DSUM('1_Combustibles fòssils'!$E$47:$U$67,"emissions1",'6.1_Resultats Illes Balears'!E$71:E102)+DSUM('1_Combustibles fòssils'!$E$47:$U$67,"emissions2",'6.1_Resultats Illes Balears'!E$71:E102))/1000)-SUM(G$72:G101)</f>
        <v>0</v>
      </c>
      <c r="H102" s="396">
        <f>(DSUM('2_Fluorats'!$E$11:$P$33,"emissions",'6.1_Resultats Illes Balears'!E$71:E102)/1000)-SUM(H$72:H101)</f>
        <v>0</v>
      </c>
      <c r="I102" s="507">
        <f>(DSUM('3_Emissions processos'!$E$13:$K$35,"emissions",'6.1_Resultats Illes Balears'!E$71:E102)/1000)-SUM(I$72:I101)</f>
        <v>0</v>
      </c>
      <c r="J102" s="507"/>
      <c r="K102" s="508">
        <f t="shared" si="0"/>
        <v>0</v>
      </c>
      <c r="L102" s="508"/>
      <c r="M102" s="508"/>
      <c r="N102" s="507">
        <f>((DSUM('4.1_Electricitat Illes Balears'!$E$20:$J$42,"emisiones",'6.1_Resultats Illes Balears'!E$71:E102)+DSUM('4.1_Electricitat Illes Balears'!$E$50:$K$70,"emisiones",'6.1_Resultats Illes Balears'!E$71:E102))/1000)-SUM(N$72:N101)</f>
        <v>0</v>
      </c>
      <c r="O102" s="508"/>
      <c r="P102" s="508">
        <f t="shared" si="1"/>
        <v>0</v>
      </c>
      <c r="Q102" s="508"/>
      <c r="R102" s="508"/>
      <c r="S102" s="73"/>
      <c r="T102" s="73"/>
      <c r="U102" s="73"/>
    </row>
    <row r="103" spans="1:21" x14ac:dyDescent="0.3">
      <c r="A103" s="198"/>
      <c r="B103" s="195"/>
      <c r="C103" s="73"/>
      <c r="D103" s="73"/>
      <c r="E103" s="197" t="str">
        <f>IF(Dades!E693="","",Dades!E693)</f>
        <v/>
      </c>
      <c r="F103" s="396">
        <f>(DSUM('1_Combustibles fòssils'!$E$17:$N$39,"emissions",'6.1_Resultats Illes Balears'!E$71:E103)/1000)-SUM(F$72:F102)</f>
        <v>0</v>
      </c>
      <c r="G103" s="396">
        <f>((DSUM('1_Combustibles fòssils'!$E$47:$U$67,"emissions1",'6.1_Resultats Illes Balears'!E$71:E103)+DSUM('1_Combustibles fòssils'!$E$47:$U$67,"emissions2",'6.1_Resultats Illes Balears'!E$71:E103))/1000)-SUM(G$72:G102)</f>
        <v>0</v>
      </c>
      <c r="H103" s="396">
        <f>(DSUM('2_Fluorats'!$E$11:$P$33,"emissions",'6.1_Resultats Illes Balears'!E$71:E103)/1000)-SUM(H$72:H102)</f>
        <v>0</v>
      </c>
      <c r="I103" s="507">
        <f>(DSUM('3_Emissions processos'!$E$13:$K$35,"emissions",'6.1_Resultats Illes Balears'!E$71:E103)/1000)-SUM(I$72:I102)</f>
        <v>0</v>
      </c>
      <c r="J103" s="507"/>
      <c r="K103" s="508">
        <f t="shared" si="0"/>
        <v>0</v>
      </c>
      <c r="L103" s="508"/>
      <c r="M103" s="508"/>
      <c r="N103" s="507">
        <f>((DSUM('4.1_Electricitat Illes Balears'!$E$20:$J$42,"emisiones",'6.1_Resultats Illes Balears'!E$71:E103)+DSUM('4.1_Electricitat Illes Balears'!$E$50:$K$70,"emisiones",'6.1_Resultats Illes Balears'!E$71:E103))/1000)-SUM(N$72:N102)</f>
        <v>0</v>
      </c>
      <c r="O103" s="508"/>
      <c r="P103" s="508">
        <f t="shared" si="1"/>
        <v>0</v>
      </c>
      <c r="Q103" s="508"/>
      <c r="R103" s="508"/>
      <c r="S103" s="73"/>
      <c r="T103" s="73"/>
      <c r="U103" s="73"/>
    </row>
    <row r="104" spans="1:21" x14ac:dyDescent="0.3">
      <c r="A104" s="198"/>
      <c r="B104" s="195"/>
      <c r="C104" s="73"/>
      <c r="D104" s="73"/>
      <c r="E104" s="197" t="str">
        <f>IF(Dades!E694="","",Dades!E694)</f>
        <v/>
      </c>
      <c r="F104" s="396">
        <f>(DSUM('1_Combustibles fòssils'!$E$17:$N$39,"emissions",'6.1_Resultats Illes Balears'!E$71:E104)/1000)-SUM(F$72:F103)</f>
        <v>0</v>
      </c>
      <c r="G104" s="396">
        <f>((DSUM('1_Combustibles fòssils'!$E$47:$U$67,"emissions1",'6.1_Resultats Illes Balears'!E$71:E104)+DSUM('1_Combustibles fòssils'!$E$47:$U$67,"emissions2",'6.1_Resultats Illes Balears'!E$71:E104))/1000)-SUM(G$72:G103)</f>
        <v>0</v>
      </c>
      <c r="H104" s="396">
        <f>(DSUM('2_Fluorats'!$E$11:$P$33,"emissions",'6.1_Resultats Illes Balears'!E$71:E104)/1000)-SUM(H$72:H103)</f>
        <v>0</v>
      </c>
      <c r="I104" s="507">
        <f>(DSUM('3_Emissions processos'!$E$13:$K$35,"emissions",'6.1_Resultats Illes Balears'!E$71:E104)/1000)-SUM(I$72:I103)</f>
        <v>0</v>
      </c>
      <c r="J104" s="507"/>
      <c r="K104" s="508">
        <f t="shared" si="0"/>
        <v>0</v>
      </c>
      <c r="L104" s="508"/>
      <c r="M104" s="508"/>
      <c r="N104" s="507">
        <f>((DSUM('4.1_Electricitat Illes Balears'!$E$20:$J$42,"emisiones",'6.1_Resultats Illes Balears'!E$71:E104)+DSUM('4.1_Electricitat Illes Balears'!$E$50:$K$70,"emisiones",'6.1_Resultats Illes Balears'!E$71:E104))/1000)-SUM(N$72:N103)</f>
        <v>0</v>
      </c>
      <c r="O104" s="508"/>
      <c r="P104" s="508">
        <f t="shared" si="1"/>
        <v>0</v>
      </c>
      <c r="Q104" s="508"/>
      <c r="R104" s="508"/>
      <c r="S104" s="73"/>
      <c r="T104" s="73"/>
      <c r="U104" s="73"/>
    </row>
    <row r="105" spans="1:21" x14ac:dyDescent="0.3">
      <c r="A105" s="198"/>
      <c r="B105" s="195"/>
      <c r="C105" s="73"/>
      <c r="D105" s="73"/>
      <c r="E105" s="197" t="str">
        <f>IF(Dades!E695="","",Dades!E695)</f>
        <v/>
      </c>
      <c r="F105" s="396">
        <f>(DSUM('1_Combustibles fòssils'!$E$17:$N$39,"emissions",'6.1_Resultats Illes Balears'!E$71:E105)/1000)-SUM(F$72:F104)</f>
        <v>0</v>
      </c>
      <c r="G105" s="396">
        <f>((DSUM('1_Combustibles fòssils'!$E$47:$U$67,"emissions1",'6.1_Resultats Illes Balears'!E$71:E105)+DSUM('1_Combustibles fòssils'!$E$47:$U$67,"emissions2",'6.1_Resultats Illes Balears'!E$71:E105))/1000)-SUM(G$72:G104)</f>
        <v>0</v>
      </c>
      <c r="H105" s="396">
        <f>(DSUM('2_Fluorats'!$E$11:$P$33,"emissions",'6.1_Resultats Illes Balears'!E$71:E105)/1000)-SUM(H$72:H104)</f>
        <v>0</v>
      </c>
      <c r="I105" s="507">
        <f>(DSUM('3_Emissions processos'!$E$13:$K$35,"emissions",'6.1_Resultats Illes Balears'!E$71:E105)/1000)-SUM(I$72:I104)</f>
        <v>0</v>
      </c>
      <c r="J105" s="507"/>
      <c r="K105" s="508">
        <f t="shared" si="0"/>
        <v>0</v>
      </c>
      <c r="L105" s="508"/>
      <c r="M105" s="508"/>
      <c r="N105" s="507">
        <f>((DSUM('4.1_Electricitat Illes Balears'!$E$20:$J$42,"emisiones",'6.1_Resultats Illes Balears'!E$71:E105)+DSUM('4.1_Electricitat Illes Balears'!$E$50:$K$70,"emisiones",'6.1_Resultats Illes Balears'!E$71:E105))/1000)-SUM(N$72:N104)</f>
        <v>0</v>
      </c>
      <c r="O105" s="508"/>
      <c r="P105" s="508">
        <f t="shared" si="1"/>
        <v>0</v>
      </c>
      <c r="Q105" s="508"/>
      <c r="R105" s="508"/>
      <c r="S105" s="73"/>
      <c r="T105" s="73"/>
      <c r="U105" s="73"/>
    </row>
    <row r="106" spans="1:21" x14ac:dyDescent="0.3">
      <c r="A106" s="198"/>
      <c r="B106" s="195"/>
      <c r="C106" s="73"/>
      <c r="D106" s="73"/>
      <c r="E106" s="197" t="str">
        <f>IF(Dades!E696="","",Dades!E696)</f>
        <v/>
      </c>
      <c r="F106" s="396">
        <f>(DSUM('1_Combustibles fòssils'!$E$17:$N$39,"emissions",'6.1_Resultats Illes Balears'!E$71:E106)/1000)-SUM(F$72:F105)</f>
        <v>0</v>
      </c>
      <c r="G106" s="396">
        <f>((DSUM('1_Combustibles fòssils'!$E$47:$U$67,"emissions1",'6.1_Resultats Illes Balears'!E$71:E106)+DSUM('1_Combustibles fòssils'!$E$47:$U$67,"emissions2",'6.1_Resultats Illes Balears'!E$71:E106))/1000)-SUM(G$72:G105)</f>
        <v>0</v>
      </c>
      <c r="H106" s="396">
        <f>(DSUM('2_Fluorats'!$E$11:$P$33,"emissions",'6.1_Resultats Illes Balears'!E$71:E106)/1000)-SUM(H$72:H105)</f>
        <v>0</v>
      </c>
      <c r="I106" s="507">
        <f>(DSUM('3_Emissions processos'!$E$13:$K$35,"emissions",'6.1_Resultats Illes Balears'!E$71:E106)/1000)-SUM(I$72:I105)</f>
        <v>0</v>
      </c>
      <c r="J106" s="507"/>
      <c r="K106" s="508">
        <f t="shared" si="0"/>
        <v>0</v>
      </c>
      <c r="L106" s="508"/>
      <c r="M106" s="508"/>
      <c r="N106" s="507">
        <f>((DSUM('4.1_Electricitat Illes Balears'!$E$20:$J$42,"emisiones",'6.1_Resultats Illes Balears'!E$71:E106)+DSUM('4.1_Electricitat Illes Balears'!$E$50:$K$70,"emisiones",'6.1_Resultats Illes Balears'!E$71:E106))/1000)-SUM(N$72:N105)</f>
        <v>0</v>
      </c>
      <c r="O106" s="508"/>
      <c r="P106" s="508">
        <f t="shared" si="1"/>
        <v>0</v>
      </c>
      <c r="Q106" s="508"/>
      <c r="R106" s="508"/>
      <c r="S106" s="73"/>
      <c r="T106" s="73"/>
      <c r="U106" s="73"/>
    </row>
    <row r="107" spans="1:21" x14ac:dyDescent="0.3">
      <c r="A107" s="198"/>
      <c r="B107" s="195"/>
      <c r="C107" s="73"/>
      <c r="D107" s="73"/>
      <c r="E107" s="197" t="str">
        <f>IF(Dades!E697="","",Dades!E697)</f>
        <v/>
      </c>
      <c r="F107" s="396">
        <f>(DSUM('1_Combustibles fòssils'!$E$17:$N$39,"emissions",'6.1_Resultats Illes Balears'!E$71:E107)/1000)-SUM(F$72:F106)</f>
        <v>0</v>
      </c>
      <c r="G107" s="396">
        <f>((DSUM('1_Combustibles fòssils'!$E$47:$U$67,"emissions1",'6.1_Resultats Illes Balears'!E$71:E107)+DSUM('1_Combustibles fòssils'!$E$47:$U$67,"emissions2",'6.1_Resultats Illes Balears'!E$71:E107))/1000)-SUM(G$72:G106)</f>
        <v>0</v>
      </c>
      <c r="H107" s="396">
        <f>(DSUM('2_Fluorats'!$E$11:$P$33,"emissions",'6.1_Resultats Illes Balears'!E$71:E107)/1000)-SUM(H$72:H106)</f>
        <v>0</v>
      </c>
      <c r="I107" s="507">
        <f>(DSUM('3_Emissions processos'!$E$13:$K$35,"emissions",'6.1_Resultats Illes Balears'!E$71:E107)/1000)-SUM(I$72:I106)</f>
        <v>0</v>
      </c>
      <c r="J107" s="507"/>
      <c r="K107" s="508">
        <f t="shared" si="0"/>
        <v>0</v>
      </c>
      <c r="L107" s="508"/>
      <c r="M107" s="508"/>
      <c r="N107" s="507">
        <f>((DSUM('4.1_Electricitat Illes Balears'!$E$20:$J$42,"emisiones",'6.1_Resultats Illes Balears'!E$71:E107)+DSUM('4.1_Electricitat Illes Balears'!$E$50:$K$70,"emisiones",'6.1_Resultats Illes Balears'!E$71:E107))/1000)-SUM(N$72:N106)</f>
        <v>0</v>
      </c>
      <c r="O107" s="508"/>
      <c r="P107" s="508">
        <f t="shared" si="1"/>
        <v>0</v>
      </c>
      <c r="Q107" s="508"/>
      <c r="R107" s="508"/>
      <c r="S107" s="73"/>
      <c r="T107" s="73"/>
      <c r="U107" s="73"/>
    </row>
    <row r="108" spans="1:21" ht="16.5" customHeight="1" x14ac:dyDescent="0.3">
      <c r="A108" s="198"/>
      <c r="B108" s="195"/>
      <c r="C108" s="73"/>
      <c r="D108" s="73"/>
      <c r="E108" s="197" t="str">
        <f>IF(Dades!E698="","",Dades!E698)</f>
        <v/>
      </c>
      <c r="F108" s="396">
        <f>(DSUM('1_Combustibles fòssils'!$E$17:$N$39,"emissions",'6.1_Resultats Illes Balears'!E$71:E108)/1000)-SUM(F$72:F107)</f>
        <v>0</v>
      </c>
      <c r="G108" s="396">
        <f>((DSUM('1_Combustibles fòssils'!$E$47:$U$67,"emissions1",'6.1_Resultats Illes Balears'!E$71:E108)+DSUM('1_Combustibles fòssils'!$E$47:$U$67,"emissions2",'6.1_Resultats Illes Balears'!E$71:E108))/1000)-SUM(G$72:G107)</f>
        <v>0</v>
      </c>
      <c r="H108" s="396">
        <f>(DSUM('2_Fluorats'!$E$11:$P$33,"emissions",'6.1_Resultats Illes Balears'!E$71:E108)/1000)-SUM(H$72:H107)</f>
        <v>0</v>
      </c>
      <c r="I108" s="507">
        <f>(DSUM('3_Emissions processos'!$E$13:$K$35,"emissions",'6.1_Resultats Illes Balears'!E$71:E108)/1000)-SUM(I$72:I107)</f>
        <v>0</v>
      </c>
      <c r="J108" s="507"/>
      <c r="K108" s="508">
        <f t="shared" si="0"/>
        <v>0</v>
      </c>
      <c r="L108" s="508"/>
      <c r="M108" s="508"/>
      <c r="N108" s="507">
        <f>((DSUM('4.1_Electricitat Illes Balears'!$E$20:$J$42,"emisiones",'6.1_Resultats Illes Balears'!E$71:E108)+DSUM('4.1_Electricitat Illes Balears'!$E$50:$K$70,"emisiones",'6.1_Resultats Illes Balears'!E$71:E108))/1000)-SUM(N$72:N107)</f>
        <v>0</v>
      </c>
      <c r="O108" s="508"/>
      <c r="P108" s="508">
        <f t="shared" si="1"/>
        <v>0</v>
      </c>
      <c r="Q108" s="508"/>
      <c r="R108" s="508"/>
      <c r="S108" s="73"/>
      <c r="T108" s="73"/>
      <c r="U108" s="73"/>
    </row>
    <row r="109" spans="1:21" ht="16.5" customHeight="1" x14ac:dyDescent="0.3">
      <c r="A109" s="198"/>
      <c r="B109" s="195"/>
      <c r="C109" s="73"/>
      <c r="D109" s="73"/>
      <c r="E109" s="197" t="str">
        <f>IF(Dades!E699="","",Dades!E699)</f>
        <v/>
      </c>
      <c r="F109" s="396">
        <f>(DSUM('1_Combustibles fòssils'!$E$17:$N$39,"emissions",'6.1_Resultats Illes Balears'!E$71:E109)/1000)-SUM(F$72:F108)</f>
        <v>0</v>
      </c>
      <c r="G109" s="396">
        <f>((DSUM('1_Combustibles fòssils'!$E$47:$U$67,"emissions1",'6.1_Resultats Illes Balears'!E$71:E109)+DSUM('1_Combustibles fòssils'!$E$47:$U$67,"emissions2",'6.1_Resultats Illes Balears'!E$71:E109))/1000)-SUM(G$72:G108)</f>
        <v>0</v>
      </c>
      <c r="H109" s="396">
        <f>(DSUM('2_Fluorats'!$E$11:$P$33,"emissions",'6.1_Resultats Illes Balears'!E$71:E109)/1000)-SUM(H$72:H108)</f>
        <v>0</v>
      </c>
      <c r="I109" s="507">
        <f>(DSUM('3_Emissions processos'!$E$13:$K$35,"emissions",'6.1_Resultats Illes Balears'!E$71:E109)/1000)-SUM(I$72:I108)</f>
        <v>0</v>
      </c>
      <c r="J109" s="507"/>
      <c r="K109" s="508">
        <f t="shared" si="0"/>
        <v>0</v>
      </c>
      <c r="L109" s="508"/>
      <c r="M109" s="508"/>
      <c r="N109" s="507">
        <f>((DSUM('4.1_Electricitat Illes Balears'!$E$20:$J$42,"emisiones",'6.1_Resultats Illes Balears'!E$71:E109)+DSUM('4.1_Electricitat Illes Balears'!$E$50:$K$70,"emisiones",'6.1_Resultats Illes Balears'!E$71:E109))/1000)-SUM(N$72:N108)</f>
        <v>0</v>
      </c>
      <c r="O109" s="508"/>
      <c r="P109" s="508">
        <f t="shared" si="1"/>
        <v>0</v>
      </c>
      <c r="Q109" s="508"/>
      <c r="R109" s="508"/>
      <c r="S109" s="73"/>
      <c r="T109" s="73"/>
      <c r="U109" s="73"/>
    </row>
    <row r="110" spans="1:21" ht="16.5" customHeight="1" x14ac:dyDescent="0.3">
      <c r="A110" s="198"/>
      <c r="B110" s="195"/>
      <c r="C110" s="73"/>
      <c r="D110" s="73"/>
      <c r="E110" s="197" t="str">
        <f>IF(Dades!E700="","",Dades!E700)</f>
        <v/>
      </c>
      <c r="F110" s="396">
        <f>(DSUM('1_Combustibles fòssils'!$E$17:$N$39,"emissions",'6.1_Resultats Illes Balears'!E$71:E110)/1000)-SUM(F$72:F109)</f>
        <v>0</v>
      </c>
      <c r="G110" s="396">
        <f>((DSUM('1_Combustibles fòssils'!$E$47:$U$67,"emissions1",'6.1_Resultats Illes Balears'!E$71:E110)+DSUM('1_Combustibles fòssils'!$E$47:$U$67,"emissions2",'6.1_Resultats Illes Balears'!E$71:E110))/1000)-SUM(G$72:G109)</f>
        <v>0</v>
      </c>
      <c r="H110" s="396">
        <f>(DSUM('2_Fluorats'!$E$11:$P$33,"emissions",'6.1_Resultats Illes Balears'!E$71:E110)/1000)-SUM(H$72:H109)</f>
        <v>0</v>
      </c>
      <c r="I110" s="507">
        <f>(DSUM('3_Emissions processos'!$E$13:$K$35,"emissions",'6.1_Resultats Illes Balears'!E$71:E110)/1000)-SUM(I$72:I109)</f>
        <v>0</v>
      </c>
      <c r="J110" s="507"/>
      <c r="K110" s="508">
        <f t="shared" si="0"/>
        <v>0</v>
      </c>
      <c r="L110" s="508"/>
      <c r="M110" s="508"/>
      <c r="N110" s="507">
        <f>((DSUM('4.1_Electricitat Illes Balears'!$E$20:$J$42,"emisiones",'6.1_Resultats Illes Balears'!E$71:E110)+DSUM('4.1_Electricitat Illes Balears'!$E$50:$K$70,"emisiones",'6.1_Resultats Illes Balears'!E$71:E110))/1000)-SUM(N$72:N109)</f>
        <v>0</v>
      </c>
      <c r="O110" s="508"/>
      <c r="P110" s="508">
        <f t="shared" si="1"/>
        <v>0</v>
      </c>
      <c r="Q110" s="508"/>
      <c r="R110" s="508"/>
      <c r="S110" s="73"/>
      <c r="T110" s="73"/>
      <c r="U110" s="73"/>
    </row>
    <row r="111" spans="1:21" ht="16.5" customHeight="1" x14ac:dyDescent="0.3">
      <c r="A111" s="198"/>
      <c r="B111" s="195"/>
      <c r="C111" s="73"/>
      <c r="D111" s="73"/>
      <c r="E111" s="197" t="str">
        <f>IF(Dades!E701="","",Dades!E701)</f>
        <v/>
      </c>
      <c r="F111" s="396">
        <f>(DSUM('1_Combustibles fòssils'!$E$17:$N$39,"emissions",'6.1_Resultats Illes Balears'!E$71:E111)/1000)-SUM(F$72:F110)</f>
        <v>0</v>
      </c>
      <c r="G111" s="396">
        <f>((DSUM('1_Combustibles fòssils'!$E$47:$U$67,"emissions1",'6.1_Resultats Illes Balears'!E$71:E111)+DSUM('1_Combustibles fòssils'!$E$47:$U$67,"emissions2",'6.1_Resultats Illes Balears'!E$71:E111))/1000)-SUM(G$72:G110)</f>
        <v>0</v>
      </c>
      <c r="H111" s="396">
        <f>(DSUM('2_Fluorats'!$E$11:$P$33,"emissions",'6.1_Resultats Illes Balears'!E$71:E111)/1000)-SUM(H$72:H110)</f>
        <v>0</v>
      </c>
      <c r="I111" s="507">
        <f>(DSUM('3_Emissions processos'!$E$13:$K$35,"emissions",'6.1_Resultats Illes Balears'!E$71:E111)/1000)-SUM(I$72:I110)</f>
        <v>0</v>
      </c>
      <c r="J111" s="507"/>
      <c r="K111" s="508">
        <f t="shared" si="0"/>
        <v>0</v>
      </c>
      <c r="L111" s="508"/>
      <c r="M111" s="508"/>
      <c r="N111" s="507">
        <f>((DSUM('4.1_Electricitat Illes Balears'!$E$20:$J$42,"emisiones",'6.1_Resultats Illes Balears'!E$71:E111)+DSUM('4.1_Electricitat Illes Balears'!$E$50:$K$70,"emisiones",'6.1_Resultats Illes Balears'!E$71:E111))/1000)-SUM(N$72:N110)</f>
        <v>0</v>
      </c>
      <c r="O111" s="508"/>
      <c r="P111" s="508">
        <f t="shared" si="1"/>
        <v>0</v>
      </c>
      <c r="Q111" s="508"/>
      <c r="R111" s="508"/>
      <c r="S111" s="73"/>
      <c r="T111" s="73"/>
      <c r="U111" s="73"/>
    </row>
    <row r="112" spans="1:21" ht="16.5" customHeight="1" x14ac:dyDescent="0.3">
      <c r="A112" s="198"/>
      <c r="B112" s="195"/>
      <c r="C112" s="73"/>
      <c r="D112" s="73"/>
      <c r="E112" s="197" t="str">
        <f>IF(Dades!E702="","",Dades!E702)</f>
        <v/>
      </c>
      <c r="F112" s="396">
        <f>(DSUM('1_Combustibles fòssils'!$E$17:$N$39,"emissions",'6.1_Resultats Illes Balears'!E$71:E112)/1000)-SUM(F$72:F111)</f>
        <v>0</v>
      </c>
      <c r="G112" s="396">
        <f>((DSUM('1_Combustibles fòssils'!$E$47:$U$67,"emissions1",'6.1_Resultats Illes Balears'!E$71:E112)+DSUM('1_Combustibles fòssils'!$E$47:$U$67,"emissions2",'6.1_Resultats Illes Balears'!E$71:E112))/1000)-SUM(G$72:G111)</f>
        <v>0</v>
      </c>
      <c r="H112" s="396">
        <f>(DSUM('2_Fluorats'!$E$11:$P$33,"emissions",'6.1_Resultats Illes Balears'!E$71:E112)/1000)-SUM(H$72:H111)</f>
        <v>0</v>
      </c>
      <c r="I112" s="507">
        <f>(DSUM('3_Emissions processos'!$E$13:$K$35,"emissions",'6.1_Resultats Illes Balears'!E$71:E112)/1000)-SUM(I$72:I111)</f>
        <v>0</v>
      </c>
      <c r="J112" s="507"/>
      <c r="K112" s="508">
        <f t="shared" si="0"/>
        <v>0</v>
      </c>
      <c r="L112" s="508"/>
      <c r="M112" s="508"/>
      <c r="N112" s="507">
        <f>((DSUM('4.1_Electricitat Illes Balears'!$E$20:$J$42,"emisiones",'6.1_Resultats Illes Balears'!E$71:E112)+DSUM('4.1_Electricitat Illes Balears'!$E$50:$K$70,"emisiones",'6.1_Resultats Illes Balears'!E$71:E112))/1000)-SUM(N$72:N111)</f>
        <v>0</v>
      </c>
      <c r="O112" s="508"/>
      <c r="P112" s="508">
        <f t="shared" si="1"/>
        <v>0</v>
      </c>
      <c r="Q112" s="508"/>
      <c r="R112" s="508"/>
      <c r="S112" s="73"/>
      <c r="T112" s="73"/>
      <c r="U112" s="73"/>
    </row>
    <row r="113" spans="1:21" x14ac:dyDescent="0.3">
      <c r="A113" s="198"/>
      <c r="B113" s="195"/>
      <c r="C113" s="73"/>
      <c r="D113" s="73"/>
      <c r="E113" s="197" t="str">
        <f>IF(Dades!E703="","",Dades!E703)</f>
        <v/>
      </c>
      <c r="F113" s="396">
        <f>(DSUM('1_Combustibles fòssils'!$E$17:$N$39,"emissions",'6.1_Resultats Illes Balears'!E$71:E113)/1000)-SUM(F$72:F112)</f>
        <v>0</v>
      </c>
      <c r="G113" s="396">
        <f>((DSUM('1_Combustibles fòssils'!$E$47:$U$67,"emissions1",'6.1_Resultats Illes Balears'!E$71:E113)+DSUM('1_Combustibles fòssils'!$E$47:$U$67,"emissions2",'6.1_Resultats Illes Balears'!E$71:E113))/1000)-SUM(G$72:G112)</f>
        <v>0</v>
      </c>
      <c r="H113" s="396">
        <f>(DSUM('2_Fluorats'!$E$11:$P$33,"emissions",'6.1_Resultats Illes Balears'!E$71:E113)/1000)-SUM(H$72:H112)</f>
        <v>0</v>
      </c>
      <c r="I113" s="507">
        <f>(DSUM('3_Emissions processos'!$E$13:$K$35,"emissions",'6.1_Resultats Illes Balears'!E$71:E113)/1000)-SUM(I$72:I112)</f>
        <v>0</v>
      </c>
      <c r="J113" s="507"/>
      <c r="K113" s="508">
        <f t="shared" si="0"/>
        <v>0</v>
      </c>
      <c r="L113" s="508"/>
      <c r="M113" s="508"/>
      <c r="N113" s="507">
        <f>((DSUM('4.1_Electricitat Illes Balears'!$E$20:$J$42,"emisiones",'6.1_Resultats Illes Balears'!E$71:E113)+DSUM('4.1_Electricitat Illes Balears'!$E$50:$K$70,"emisiones",'6.1_Resultats Illes Balears'!E$71:E113))/1000)-SUM(N$72:N112)</f>
        <v>0</v>
      </c>
      <c r="O113" s="508"/>
      <c r="P113" s="508">
        <f t="shared" si="1"/>
        <v>0</v>
      </c>
      <c r="Q113" s="508"/>
      <c r="R113" s="508"/>
      <c r="S113" s="73"/>
      <c r="T113" s="73"/>
      <c r="U113" s="73"/>
    </row>
    <row r="114" spans="1:21" ht="16.5" customHeight="1" x14ac:dyDescent="0.3">
      <c r="A114" s="198"/>
      <c r="B114" s="195"/>
      <c r="C114" s="73"/>
      <c r="D114" s="73"/>
      <c r="E114" s="197" t="str">
        <f>IF(Dades!E704="","",Dades!E704)</f>
        <v/>
      </c>
      <c r="F114" s="396">
        <f>(DSUM('1_Combustibles fòssils'!$E$17:$N$39,"emissions",'6.1_Resultats Illes Balears'!E$71:E114)/1000)-SUM(F$72:F113)</f>
        <v>0</v>
      </c>
      <c r="G114" s="396">
        <f>((DSUM('1_Combustibles fòssils'!$E$47:$U$67,"emissions1",'6.1_Resultats Illes Balears'!E$71:E114)+DSUM('1_Combustibles fòssils'!$E$47:$U$67,"emissions2",'6.1_Resultats Illes Balears'!E$71:E114))/1000)-SUM(G$72:G113)</f>
        <v>0</v>
      </c>
      <c r="H114" s="396">
        <f>(DSUM('2_Fluorats'!$E$11:$P$33,"emissions",'6.1_Resultats Illes Balears'!E$71:E114)/1000)-SUM(H$72:H113)</f>
        <v>0</v>
      </c>
      <c r="I114" s="507">
        <f>(DSUM('3_Emissions processos'!$E$13:$K$35,"emissions",'6.1_Resultats Illes Balears'!E$71:E114)/1000)-SUM(I$72:I113)</f>
        <v>0</v>
      </c>
      <c r="J114" s="507"/>
      <c r="K114" s="508">
        <f t="shared" si="0"/>
        <v>0</v>
      </c>
      <c r="L114" s="508"/>
      <c r="M114" s="508"/>
      <c r="N114" s="507">
        <f>((DSUM('4.1_Electricitat Illes Balears'!$E$20:$J$42,"emisiones",'6.1_Resultats Illes Balears'!E$71:E114)+DSUM('4.1_Electricitat Illes Balears'!$E$50:$K$70,"emisiones",'6.1_Resultats Illes Balears'!E$71:E114))/1000)-SUM(N$72:N113)</f>
        <v>0</v>
      </c>
      <c r="O114" s="508"/>
      <c r="P114" s="508">
        <f t="shared" si="1"/>
        <v>0</v>
      </c>
      <c r="Q114" s="508"/>
      <c r="R114" s="508"/>
      <c r="S114" s="73"/>
      <c r="T114" s="73"/>
      <c r="U114" s="73"/>
    </row>
    <row r="115" spans="1:21" x14ac:dyDescent="0.3">
      <c r="A115" s="198"/>
      <c r="B115" s="195"/>
      <c r="C115" s="73"/>
      <c r="D115" s="73"/>
      <c r="E115" s="197" t="str">
        <f>IF(Dades!E705="","",Dades!E705)</f>
        <v/>
      </c>
      <c r="F115" s="396">
        <f>(DSUM('1_Combustibles fòssils'!$E$17:$N$39,"emissions",'6.1_Resultats Illes Balears'!E$71:E115)/1000)-SUM(F$72:F114)</f>
        <v>0</v>
      </c>
      <c r="G115" s="396">
        <f>((DSUM('1_Combustibles fòssils'!$E$47:$U$67,"emissions1",'6.1_Resultats Illes Balears'!E$71:E115)+DSUM('1_Combustibles fòssils'!$E$47:$U$67,"emissions2",'6.1_Resultats Illes Balears'!E$71:E115))/1000)-SUM(G$72:G114)</f>
        <v>0</v>
      </c>
      <c r="H115" s="396">
        <f>(DSUM('2_Fluorats'!$E$11:$P$33,"emissions",'6.1_Resultats Illes Balears'!E$71:E115)/1000)-SUM(H$72:H114)</f>
        <v>0</v>
      </c>
      <c r="I115" s="507">
        <f>(DSUM('3_Emissions processos'!$E$13:$K$35,"emissions",'6.1_Resultats Illes Balears'!E$71:E115)/1000)-SUM(I$72:I114)</f>
        <v>0</v>
      </c>
      <c r="J115" s="507"/>
      <c r="K115" s="508">
        <f t="shared" si="0"/>
        <v>0</v>
      </c>
      <c r="L115" s="508"/>
      <c r="M115" s="508"/>
      <c r="N115" s="507">
        <f>((DSUM('4.1_Electricitat Illes Balears'!$E$20:$J$42,"emisiones",'6.1_Resultats Illes Balears'!E$71:E115)+DSUM('4.1_Electricitat Illes Balears'!$E$50:$K$70,"emisiones",'6.1_Resultats Illes Balears'!E$71:E115))/1000)-SUM(N$72:N114)</f>
        <v>0</v>
      </c>
      <c r="O115" s="508"/>
      <c r="P115" s="508">
        <f t="shared" si="1"/>
        <v>0</v>
      </c>
      <c r="Q115" s="508"/>
      <c r="R115" s="508"/>
      <c r="S115" s="73"/>
      <c r="T115" s="73"/>
      <c r="U115" s="73"/>
    </row>
    <row r="116" spans="1:21" x14ac:dyDescent="0.3">
      <c r="A116" s="198"/>
      <c r="B116" s="195"/>
      <c r="C116" s="73"/>
      <c r="D116" s="73"/>
      <c r="E116" s="197" t="str">
        <f>IF(Dades!E706="","",Dades!E706)</f>
        <v/>
      </c>
      <c r="F116" s="396">
        <f>(DSUM('1_Combustibles fòssils'!$E$17:$N$39,"emissions",'6.1_Resultats Illes Balears'!E$71:E116)/1000)-SUM(F$72:F115)</f>
        <v>0</v>
      </c>
      <c r="G116" s="396">
        <f>((DSUM('1_Combustibles fòssils'!$E$47:$U$67,"emissions1",'6.1_Resultats Illes Balears'!E$71:E116)+DSUM('1_Combustibles fòssils'!$E$47:$U$67,"emissions2",'6.1_Resultats Illes Balears'!E$71:E116))/1000)-SUM(G$72:G115)</f>
        <v>0</v>
      </c>
      <c r="H116" s="396">
        <f>(DSUM('2_Fluorats'!$E$11:$P$33,"emissions",'6.1_Resultats Illes Balears'!E$71:E116)/1000)-SUM(H$72:H115)</f>
        <v>0</v>
      </c>
      <c r="I116" s="507">
        <f>(DSUM('3_Emissions processos'!$E$13:$K$35,"emissions",'6.1_Resultats Illes Balears'!E$71:E116)/1000)-SUM(I$72:I115)</f>
        <v>0</v>
      </c>
      <c r="J116" s="507"/>
      <c r="K116" s="508">
        <f t="shared" si="0"/>
        <v>0</v>
      </c>
      <c r="L116" s="508"/>
      <c r="M116" s="508"/>
      <c r="N116" s="507">
        <f>((DSUM('4.1_Electricitat Illes Balears'!$E$20:$J$42,"emisiones",'6.1_Resultats Illes Balears'!E$71:E116)+DSUM('4.1_Electricitat Illes Balears'!$E$50:$K$70,"emisiones",'6.1_Resultats Illes Balears'!E$71:E116))/1000)-SUM(N$72:N115)</f>
        <v>0</v>
      </c>
      <c r="O116" s="508"/>
      <c r="P116" s="508">
        <f t="shared" si="1"/>
        <v>0</v>
      </c>
      <c r="Q116" s="508"/>
      <c r="R116" s="508"/>
      <c r="S116" s="73"/>
      <c r="T116" s="73"/>
      <c r="U116" s="73"/>
    </row>
    <row r="117" spans="1:21" x14ac:dyDescent="0.3">
      <c r="A117" s="198"/>
      <c r="B117" s="195"/>
      <c r="C117" s="73"/>
      <c r="D117" s="73"/>
      <c r="E117" s="197" t="str">
        <f>IF(Dades!E707="","",Dades!E707)</f>
        <v/>
      </c>
      <c r="F117" s="396">
        <f>(DSUM('1_Combustibles fòssils'!$E$17:$N$39,"emissions",'6.1_Resultats Illes Balears'!E$71:E117)/1000)-SUM(F$72:F116)</f>
        <v>0</v>
      </c>
      <c r="G117" s="396">
        <f>((DSUM('1_Combustibles fòssils'!$E$47:$U$67,"emissions1",'6.1_Resultats Illes Balears'!E$71:E117)+DSUM('1_Combustibles fòssils'!$E$47:$U$67,"emissions2",'6.1_Resultats Illes Balears'!E$71:E117))/1000)-SUM(G$72:G116)</f>
        <v>0</v>
      </c>
      <c r="H117" s="396">
        <f>(DSUM('2_Fluorats'!$E$11:$P$33,"emissions",'6.1_Resultats Illes Balears'!E$71:E117)/1000)-SUM(H$72:H116)</f>
        <v>0</v>
      </c>
      <c r="I117" s="507">
        <f>(DSUM('3_Emissions processos'!$E$13:$K$35,"emissions",'6.1_Resultats Illes Balears'!E$71:E117)/1000)-SUM(I$72:I116)</f>
        <v>0</v>
      </c>
      <c r="J117" s="507"/>
      <c r="K117" s="508">
        <f t="shared" si="0"/>
        <v>0</v>
      </c>
      <c r="L117" s="508"/>
      <c r="M117" s="508"/>
      <c r="N117" s="507">
        <f>((DSUM('4.1_Electricitat Illes Balears'!$E$20:$J$42,"emisiones",'6.1_Resultats Illes Balears'!E$71:E117)+DSUM('4.1_Electricitat Illes Balears'!$E$50:$K$70,"emisiones",'6.1_Resultats Illes Balears'!E$71:E117))/1000)-SUM(N$72:N116)</f>
        <v>0</v>
      </c>
      <c r="O117" s="508"/>
      <c r="P117" s="508">
        <f t="shared" si="1"/>
        <v>0</v>
      </c>
      <c r="Q117" s="508"/>
      <c r="R117" s="508"/>
      <c r="S117" s="73"/>
      <c r="T117" s="73"/>
      <c r="U117" s="73"/>
    </row>
    <row r="118" spans="1:21" x14ac:dyDescent="0.3">
      <c r="A118" s="198"/>
      <c r="B118" s="195"/>
      <c r="C118" s="73"/>
      <c r="D118" s="73"/>
      <c r="E118" s="197" t="str">
        <f>IF(Dades!E708="","",Dades!E708)</f>
        <v/>
      </c>
      <c r="F118" s="396">
        <f>(DSUM('1_Combustibles fòssils'!$E$17:$N$39,"emissions",'6.1_Resultats Illes Balears'!E$71:E118)/1000)-SUM(F$72:F117)</f>
        <v>0</v>
      </c>
      <c r="G118" s="396">
        <f>((DSUM('1_Combustibles fòssils'!$E$47:$U$67,"emissions1",'6.1_Resultats Illes Balears'!E$71:E118)+DSUM('1_Combustibles fòssils'!$E$47:$U$67,"emissions2",'6.1_Resultats Illes Balears'!E$71:E118))/1000)-SUM(G$72:G117)</f>
        <v>0</v>
      </c>
      <c r="H118" s="396">
        <f>(DSUM('2_Fluorats'!$E$11:$P$33,"emissions",'6.1_Resultats Illes Balears'!E$71:E118)/1000)-SUM(H$72:H117)</f>
        <v>0</v>
      </c>
      <c r="I118" s="507">
        <f>(DSUM('3_Emissions processos'!$E$13:$K$35,"emissions",'6.1_Resultats Illes Balears'!E$71:E118)/1000)-SUM(I$72:I117)</f>
        <v>0</v>
      </c>
      <c r="J118" s="507"/>
      <c r="K118" s="508">
        <f t="shared" si="0"/>
        <v>0</v>
      </c>
      <c r="L118" s="508"/>
      <c r="M118" s="508"/>
      <c r="N118" s="507">
        <f>((DSUM('4.1_Electricitat Illes Balears'!$E$20:$J$42,"emisiones",'6.1_Resultats Illes Balears'!E$71:E118)+DSUM('4.1_Electricitat Illes Balears'!$E$50:$K$70,"emisiones",'6.1_Resultats Illes Balears'!E$71:E118))/1000)-SUM(N$72:N117)</f>
        <v>0</v>
      </c>
      <c r="O118" s="508"/>
      <c r="P118" s="508">
        <f t="shared" si="1"/>
        <v>0</v>
      </c>
      <c r="Q118" s="508"/>
      <c r="R118" s="508"/>
      <c r="S118" s="73"/>
      <c r="T118" s="73"/>
      <c r="U118" s="73"/>
    </row>
    <row r="119" spans="1:21" x14ac:dyDescent="0.3">
      <c r="A119" s="198"/>
      <c r="B119" s="195"/>
      <c r="C119" s="73"/>
      <c r="D119" s="73"/>
      <c r="E119" s="197" t="str">
        <f>IF(Dades!E709="","",Dades!E709)</f>
        <v/>
      </c>
      <c r="F119" s="396">
        <f>(DSUM('1_Combustibles fòssils'!$E$17:$N$39,"emissions",'6.1_Resultats Illes Balears'!E$71:E119)/1000)-SUM(F$72:F118)</f>
        <v>0</v>
      </c>
      <c r="G119" s="396">
        <f>((DSUM('1_Combustibles fòssils'!$E$47:$U$67,"emissions1",'6.1_Resultats Illes Balears'!E$71:E119)+DSUM('1_Combustibles fòssils'!$E$47:$U$67,"emissions2",'6.1_Resultats Illes Balears'!E$71:E119))/1000)-SUM(G$72:G118)</f>
        <v>0</v>
      </c>
      <c r="H119" s="396">
        <f>(DSUM('2_Fluorats'!$E$11:$P$33,"emissions",'6.1_Resultats Illes Balears'!E$71:E119)/1000)-SUM(H$72:H118)</f>
        <v>0</v>
      </c>
      <c r="I119" s="507">
        <f>(DSUM('3_Emissions processos'!$E$13:$K$35,"emissions",'6.1_Resultats Illes Balears'!E$71:E119)/1000)-SUM(I$72:I118)</f>
        <v>0</v>
      </c>
      <c r="J119" s="507"/>
      <c r="K119" s="508">
        <f t="shared" si="0"/>
        <v>0</v>
      </c>
      <c r="L119" s="508"/>
      <c r="M119" s="508"/>
      <c r="N119" s="507">
        <f>((DSUM('4.1_Electricitat Illes Balears'!$E$20:$J$42,"emisiones",'6.1_Resultats Illes Balears'!E$71:E119)+DSUM('4.1_Electricitat Illes Balears'!$E$50:$K$70,"emisiones",'6.1_Resultats Illes Balears'!E$71:E119))/1000)-SUM(N$72:N118)</f>
        <v>0</v>
      </c>
      <c r="O119" s="508"/>
      <c r="P119" s="508">
        <f t="shared" si="1"/>
        <v>0</v>
      </c>
      <c r="Q119" s="508"/>
      <c r="R119" s="508"/>
      <c r="S119" s="73"/>
      <c r="T119" s="73"/>
      <c r="U119" s="73"/>
    </row>
    <row r="120" spans="1:21" ht="16.5" customHeight="1" x14ac:dyDescent="0.3">
      <c r="A120" s="198"/>
      <c r="B120" s="195"/>
      <c r="C120" s="73"/>
      <c r="D120" s="73"/>
      <c r="E120" s="197" t="str">
        <f>IF(Dades!E710="","",Dades!E710)</f>
        <v/>
      </c>
      <c r="F120" s="396">
        <f>(DSUM('1_Combustibles fòssils'!$E$17:$N$39,"emissions",'6.1_Resultats Illes Balears'!E$71:E120)/1000)-SUM(F$72:F119)</f>
        <v>0</v>
      </c>
      <c r="G120" s="396">
        <f>((DSUM('1_Combustibles fòssils'!$E$47:$U$67,"emissions1",'6.1_Resultats Illes Balears'!E$71:E120)+DSUM('1_Combustibles fòssils'!$E$47:$U$67,"emissions2",'6.1_Resultats Illes Balears'!E$71:E120))/1000)-SUM(G$72:G119)</f>
        <v>0</v>
      </c>
      <c r="H120" s="396">
        <f>(DSUM('2_Fluorats'!$E$11:$P$33,"emissions",'6.1_Resultats Illes Balears'!E$71:E120)/1000)-SUM(H$72:H119)</f>
        <v>0</v>
      </c>
      <c r="I120" s="507">
        <f>(DSUM('3_Emissions processos'!$E$13:$K$35,"emissions",'6.1_Resultats Illes Balears'!E$71:E120)/1000)-SUM(I$72:I119)</f>
        <v>0</v>
      </c>
      <c r="J120" s="507"/>
      <c r="K120" s="508">
        <f t="shared" si="0"/>
        <v>0</v>
      </c>
      <c r="L120" s="508"/>
      <c r="M120" s="508"/>
      <c r="N120" s="507">
        <f>((DSUM('4.1_Electricitat Illes Balears'!$E$20:$J$42,"emisiones",'6.1_Resultats Illes Balears'!E$71:E120)+DSUM('4.1_Electricitat Illes Balears'!$E$50:$K$70,"emisiones",'6.1_Resultats Illes Balears'!E$71:E120))/1000)-SUM(N$72:N119)</f>
        <v>0</v>
      </c>
      <c r="O120" s="508"/>
      <c r="P120" s="508">
        <f t="shared" si="1"/>
        <v>0</v>
      </c>
      <c r="Q120" s="508"/>
      <c r="R120" s="508"/>
      <c r="S120" s="73"/>
      <c r="T120" s="73"/>
      <c r="U120" s="73"/>
    </row>
    <row r="121" spans="1:21" ht="16.5" customHeight="1" x14ac:dyDescent="0.3">
      <c r="A121" s="198"/>
      <c r="B121" s="195"/>
      <c r="C121" s="73"/>
      <c r="D121" s="73"/>
      <c r="E121" s="197" t="str">
        <f>IF(Dades!E711="","",Dades!E711)</f>
        <v/>
      </c>
      <c r="F121" s="396">
        <f>(DSUM('1_Combustibles fòssils'!$E$17:$N$39,"emissions",'6.1_Resultats Illes Balears'!E$71:E121)/1000)-SUM(F$72:F120)</f>
        <v>0</v>
      </c>
      <c r="G121" s="396">
        <f>((DSUM('1_Combustibles fòssils'!$E$47:$U$67,"emissions1",'6.1_Resultats Illes Balears'!E$71:E121)+DSUM('1_Combustibles fòssils'!$E$47:$U$67,"emissions2",'6.1_Resultats Illes Balears'!E$71:E121))/1000)-SUM(G$72:G120)</f>
        <v>0</v>
      </c>
      <c r="H121" s="396">
        <f>(DSUM('2_Fluorats'!$E$11:$P$33,"emissions",'6.1_Resultats Illes Balears'!E$71:E121)/1000)-SUM(H$72:H120)</f>
        <v>0</v>
      </c>
      <c r="I121" s="507">
        <f>(DSUM('3_Emissions processos'!$E$13:$K$35,"emissions",'6.1_Resultats Illes Balears'!E$71:E121)/1000)-SUM(I$72:I120)</f>
        <v>0</v>
      </c>
      <c r="J121" s="507"/>
      <c r="K121" s="508">
        <f t="shared" si="0"/>
        <v>0</v>
      </c>
      <c r="L121" s="508"/>
      <c r="M121" s="508"/>
      <c r="N121" s="507">
        <f>((DSUM('4.1_Electricitat Illes Balears'!$E$20:$J$42,"emisiones",'6.1_Resultats Illes Balears'!E$71:E121)+DSUM('4.1_Electricitat Illes Balears'!$E$50:$K$70,"emisiones",'6.1_Resultats Illes Balears'!E$71:E121))/1000)-SUM(N$72:N120)</f>
        <v>0</v>
      </c>
      <c r="O121" s="508"/>
      <c r="P121" s="508">
        <f t="shared" si="1"/>
        <v>0</v>
      </c>
      <c r="Q121" s="508"/>
      <c r="R121" s="508"/>
      <c r="S121" s="73"/>
      <c r="T121" s="73"/>
      <c r="U121" s="73"/>
    </row>
    <row r="122" spans="1:21" ht="16.5" customHeight="1" x14ac:dyDescent="0.3">
      <c r="A122" s="198"/>
      <c r="B122" s="195"/>
      <c r="C122" s="73"/>
      <c r="D122" s="73"/>
      <c r="E122" s="197" t="str">
        <f>IF(Dades!E712="","",Dades!E712)</f>
        <v/>
      </c>
      <c r="F122" s="396">
        <f>(DSUM('1_Combustibles fòssils'!$E$17:$N$39,"emissions",'6.1_Resultats Illes Balears'!E$71:E122)/1000)-SUM(F$72:F121)</f>
        <v>0</v>
      </c>
      <c r="G122" s="396">
        <f>((DSUM('1_Combustibles fòssils'!$E$47:$U$67,"emissions1",'6.1_Resultats Illes Balears'!E$71:E122)+DSUM('1_Combustibles fòssils'!$E$47:$U$67,"emissions2",'6.1_Resultats Illes Balears'!E$71:E122))/1000)-SUM(G$72:G121)</f>
        <v>0</v>
      </c>
      <c r="H122" s="396">
        <f>(DSUM('2_Fluorats'!$E$11:$P$33,"emissions",'6.1_Resultats Illes Balears'!E$71:E122)/1000)-SUM(H$72:H121)</f>
        <v>0</v>
      </c>
      <c r="I122" s="507">
        <f>(DSUM('3_Emissions processos'!$E$13:$K$35,"emissions",'6.1_Resultats Illes Balears'!E$71:E122)/1000)-SUM(I$72:I121)</f>
        <v>0</v>
      </c>
      <c r="J122" s="507"/>
      <c r="K122" s="508">
        <f t="shared" si="0"/>
        <v>0</v>
      </c>
      <c r="L122" s="508"/>
      <c r="M122" s="508"/>
      <c r="N122" s="507">
        <f>((DSUM('4.1_Electricitat Illes Balears'!$E$20:$J$42,"emisiones",'6.1_Resultats Illes Balears'!E$71:E122)+DSUM('4.1_Electricitat Illes Balears'!$E$50:$K$70,"emisiones",'6.1_Resultats Illes Balears'!E$71:E122))/1000)-SUM(N$72:N121)</f>
        <v>0</v>
      </c>
      <c r="O122" s="508"/>
      <c r="P122" s="508">
        <f t="shared" si="1"/>
        <v>0</v>
      </c>
      <c r="Q122" s="508"/>
      <c r="R122" s="508"/>
      <c r="S122" s="73"/>
      <c r="T122" s="73"/>
      <c r="U122" s="73"/>
    </row>
    <row r="123" spans="1:21" ht="16.5" customHeight="1" x14ac:dyDescent="0.3">
      <c r="A123" s="198"/>
      <c r="B123" s="195"/>
      <c r="C123" s="73"/>
      <c r="D123" s="73"/>
      <c r="E123" s="197" t="str">
        <f>IF(Dades!E713="","",Dades!E713)</f>
        <v/>
      </c>
      <c r="F123" s="396">
        <f>(DSUM('1_Combustibles fòssils'!$E$17:$N$39,"emissions",'6.1_Resultats Illes Balears'!E$71:E123)/1000)-SUM(F$72:F122)</f>
        <v>0</v>
      </c>
      <c r="G123" s="396">
        <f>((DSUM('1_Combustibles fòssils'!$E$47:$U$67,"emissions1",'6.1_Resultats Illes Balears'!E$71:E123)+DSUM('1_Combustibles fòssils'!$E$47:$U$67,"emissions2",'6.1_Resultats Illes Balears'!E$71:E123))/1000)-SUM(G$72:G122)</f>
        <v>0</v>
      </c>
      <c r="H123" s="396">
        <f>(DSUM('2_Fluorats'!$E$11:$P$33,"emissions",'6.1_Resultats Illes Balears'!E$71:E123)/1000)-SUM(H$72:H122)</f>
        <v>0</v>
      </c>
      <c r="I123" s="507">
        <f>(DSUM('3_Emissions processos'!$E$13:$K$35,"emissions",'6.1_Resultats Illes Balears'!E$71:E123)/1000)-SUM(I$72:I122)</f>
        <v>0</v>
      </c>
      <c r="J123" s="507"/>
      <c r="K123" s="508">
        <f t="shared" si="0"/>
        <v>0</v>
      </c>
      <c r="L123" s="508"/>
      <c r="M123" s="508"/>
      <c r="N123" s="507">
        <f>((DSUM('4.1_Electricitat Illes Balears'!$E$20:$J$42,"emisiones",'6.1_Resultats Illes Balears'!E$71:E123)+DSUM('4.1_Electricitat Illes Balears'!$E$50:$K$70,"emisiones",'6.1_Resultats Illes Balears'!E$71:E123))/1000)-SUM(N$72:N122)</f>
        <v>0</v>
      </c>
      <c r="O123" s="508"/>
      <c r="P123" s="508">
        <f t="shared" si="1"/>
        <v>0</v>
      </c>
      <c r="Q123" s="508"/>
      <c r="R123" s="508"/>
      <c r="S123" s="73"/>
      <c r="T123" s="73"/>
      <c r="U123" s="73"/>
    </row>
    <row r="124" spans="1:21" ht="16.5" customHeight="1" x14ac:dyDescent="0.3">
      <c r="A124" s="198"/>
      <c r="B124" s="195"/>
      <c r="C124" s="73"/>
      <c r="D124" s="73"/>
      <c r="E124" s="197" t="str">
        <f>IF(Dades!E714="","",Dades!E714)</f>
        <v/>
      </c>
      <c r="F124" s="396">
        <f>(DSUM('1_Combustibles fòssils'!$E$17:$N$39,"emissions",'6.1_Resultats Illes Balears'!E$71:E124)/1000)-SUM(F$72:F123)</f>
        <v>0</v>
      </c>
      <c r="G124" s="396">
        <f>((DSUM('1_Combustibles fòssils'!$E$47:$U$67,"emissions1",'6.1_Resultats Illes Balears'!E$71:E124)+DSUM('1_Combustibles fòssils'!$E$47:$U$67,"emissions2",'6.1_Resultats Illes Balears'!E$71:E124))/1000)-SUM(G$72:G123)</f>
        <v>0</v>
      </c>
      <c r="H124" s="396">
        <f>(DSUM('2_Fluorats'!$E$11:$P$33,"emissions",'6.1_Resultats Illes Balears'!E$71:E124)/1000)-SUM(H$72:H123)</f>
        <v>0</v>
      </c>
      <c r="I124" s="507">
        <f>(DSUM('3_Emissions processos'!$E$13:$K$35,"emissions",'6.1_Resultats Illes Balears'!E$71:E124)/1000)-SUM(I$72:I123)</f>
        <v>0</v>
      </c>
      <c r="J124" s="507"/>
      <c r="K124" s="508">
        <f t="shared" si="0"/>
        <v>0</v>
      </c>
      <c r="L124" s="508"/>
      <c r="M124" s="508"/>
      <c r="N124" s="507">
        <f>((DSUM('4.1_Electricitat Illes Balears'!$E$20:$J$42,"emisiones",'6.1_Resultats Illes Balears'!E$71:E124)+DSUM('4.1_Electricitat Illes Balears'!$E$50:$K$70,"emisiones",'6.1_Resultats Illes Balears'!E$71:E124))/1000)-SUM(N$72:N123)</f>
        <v>0</v>
      </c>
      <c r="O124" s="508"/>
      <c r="P124" s="508">
        <f t="shared" si="1"/>
        <v>0</v>
      </c>
      <c r="Q124" s="508"/>
      <c r="R124" s="508"/>
      <c r="S124" s="73"/>
      <c r="T124" s="73"/>
      <c r="U124" s="73"/>
    </row>
    <row r="125" spans="1:21" x14ac:dyDescent="0.3">
      <c r="A125" s="198"/>
      <c r="B125" s="195"/>
      <c r="C125" s="73"/>
      <c r="D125" s="73"/>
      <c r="E125" s="197" t="str">
        <f>IF(Dades!E715="","",Dades!E715)</f>
        <v/>
      </c>
      <c r="F125" s="396">
        <f>(DSUM('1_Combustibles fòssils'!$E$17:$N$39,"emissions",'6.1_Resultats Illes Balears'!E$71:E125)/1000)-SUM(F$72:F124)</f>
        <v>0</v>
      </c>
      <c r="G125" s="396">
        <f>((DSUM('1_Combustibles fòssils'!$E$47:$U$67,"emissions1",'6.1_Resultats Illes Balears'!E$71:E125)+DSUM('1_Combustibles fòssils'!$E$47:$U$67,"emissions2",'6.1_Resultats Illes Balears'!E$71:E125))/1000)-SUM(G$72:G124)</f>
        <v>0</v>
      </c>
      <c r="H125" s="396">
        <f>(DSUM('2_Fluorats'!$E$11:$P$33,"emissions",'6.1_Resultats Illes Balears'!E$71:E125)/1000)-SUM(H$72:H124)</f>
        <v>0</v>
      </c>
      <c r="I125" s="507">
        <f>(DSUM('3_Emissions processos'!$E$13:$K$35,"emissions",'6.1_Resultats Illes Balears'!E$71:E125)/1000)-SUM(I$72:I124)</f>
        <v>0</v>
      </c>
      <c r="J125" s="507"/>
      <c r="K125" s="508">
        <f t="shared" si="0"/>
        <v>0</v>
      </c>
      <c r="L125" s="508"/>
      <c r="M125" s="508"/>
      <c r="N125" s="507">
        <f>((DSUM('4.1_Electricitat Illes Balears'!$E$20:$J$42,"emisiones",'6.1_Resultats Illes Balears'!E$71:E125)+DSUM('4.1_Electricitat Illes Balears'!$E$50:$K$70,"emisiones",'6.1_Resultats Illes Balears'!E$71:E125))/1000)-SUM(N$72:N124)</f>
        <v>0</v>
      </c>
      <c r="O125" s="508"/>
      <c r="P125" s="508">
        <f t="shared" si="1"/>
        <v>0</v>
      </c>
      <c r="Q125" s="508"/>
      <c r="R125" s="508"/>
      <c r="S125" s="73"/>
      <c r="T125" s="73"/>
      <c r="U125" s="73"/>
    </row>
    <row r="126" spans="1:21" ht="16.5" customHeight="1" x14ac:dyDescent="0.3">
      <c r="A126" s="198"/>
      <c r="B126" s="195"/>
      <c r="C126" s="73"/>
      <c r="D126" s="73"/>
      <c r="E126" s="197" t="str">
        <f>IF(Dades!E716="","",Dades!E716)</f>
        <v/>
      </c>
      <c r="F126" s="396">
        <f>(DSUM('1_Combustibles fòssils'!$E$17:$N$39,"emissions",'6.1_Resultats Illes Balears'!E$71:E126)/1000)-SUM(F$72:F125)</f>
        <v>0</v>
      </c>
      <c r="G126" s="396">
        <f>((DSUM('1_Combustibles fòssils'!$E$47:$U$67,"emissions1",'6.1_Resultats Illes Balears'!E$71:E126)+DSUM('1_Combustibles fòssils'!$E$47:$U$67,"emissions2",'6.1_Resultats Illes Balears'!E$71:E126))/1000)-SUM(G$72:G125)</f>
        <v>0</v>
      </c>
      <c r="H126" s="396">
        <f>(DSUM('2_Fluorats'!$E$11:$P$33,"emissions",'6.1_Resultats Illes Balears'!E$71:E126)/1000)-SUM(H$72:H125)</f>
        <v>0</v>
      </c>
      <c r="I126" s="507">
        <f>(DSUM('3_Emissions processos'!$E$13:$K$35,"emissions",'6.1_Resultats Illes Balears'!E$71:E126)/1000)-SUM(I$72:I125)</f>
        <v>0</v>
      </c>
      <c r="J126" s="507"/>
      <c r="K126" s="508">
        <f t="shared" si="0"/>
        <v>0</v>
      </c>
      <c r="L126" s="508"/>
      <c r="M126" s="508"/>
      <c r="N126" s="507">
        <f>((DSUM('4.1_Electricitat Illes Balears'!$E$20:$J$42,"emisiones",'6.1_Resultats Illes Balears'!E$71:E126)+DSUM('4.1_Electricitat Illes Balears'!$E$50:$K$70,"emisiones",'6.1_Resultats Illes Balears'!E$71:E126))/1000)-SUM(N$72:N125)</f>
        <v>0</v>
      </c>
      <c r="O126" s="508"/>
      <c r="P126" s="508">
        <f t="shared" si="1"/>
        <v>0</v>
      </c>
      <c r="Q126" s="508"/>
      <c r="R126" s="508"/>
      <c r="S126" s="73"/>
      <c r="T126" s="73"/>
      <c r="U126" s="73"/>
    </row>
    <row r="127" spans="1:21" x14ac:dyDescent="0.3">
      <c r="A127" s="198"/>
      <c r="B127" s="195"/>
      <c r="C127" s="73"/>
      <c r="D127" s="73"/>
      <c r="E127" s="197" t="str">
        <f>IF(Dades!E717="","",Dades!E717)</f>
        <v/>
      </c>
      <c r="F127" s="396">
        <f>(DSUM('1_Combustibles fòssils'!$E$17:$N$39,"emissions",'6.1_Resultats Illes Balears'!E$71:E127)/1000)-SUM(F$72:F126)</f>
        <v>0</v>
      </c>
      <c r="G127" s="396">
        <f>((DSUM('1_Combustibles fòssils'!$E$47:$U$67,"emissions1",'6.1_Resultats Illes Balears'!E$71:E127)+DSUM('1_Combustibles fòssils'!$E$47:$U$67,"emissions2",'6.1_Resultats Illes Balears'!E$71:E127))/1000)-SUM(G$72:G126)</f>
        <v>0</v>
      </c>
      <c r="H127" s="396">
        <f>(DSUM('2_Fluorats'!$E$11:$P$33,"emissions",'6.1_Resultats Illes Balears'!E$71:E127)/1000)-SUM(H$72:H126)</f>
        <v>0</v>
      </c>
      <c r="I127" s="507">
        <f>(DSUM('3_Emissions processos'!$E$13:$K$35,"emissions",'6.1_Resultats Illes Balears'!E$71:E127)/1000)-SUM(I$72:I126)</f>
        <v>0</v>
      </c>
      <c r="J127" s="507"/>
      <c r="K127" s="508">
        <f t="shared" si="0"/>
        <v>0</v>
      </c>
      <c r="L127" s="508"/>
      <c r="M127" s="508"/>
      <c r="N127" s="507">
        <f>((DSUM('4.1_Electricitat Illes Balears'!$E$20:$J$42,"emisiones",'6.1_Resultats Illes Balears'!E$71:E127)+DSUM('4.1_Electricitat Illes Balears'!$E$50:$K$70,"emisiones",'6.1_Resultats Illes Balears'!E$71:E127))/1000)-SUM(N$72:N126)</f>
        <v>0</v>
      </c>
      <c r="O127" s="508"/>
      <c r="P127" s="508">
        <f t="shared" si="1"/>
        <v>0</v>
      </c>
      <c r="Q127" s="508"/>
      <c r="R127" s="508"/>
      <c r="S127" s="73"/>
      <c r="T127" s="73"/>
      <c r="U127" s="73"/>
    </row>
    <row r="128" spans="1:21" x14ac:dyDescent="0.3">
      <c r="A128" s="198"/>
      <c r="B128" s="195"/>
      <c r="C128" s="73"/>
      <c r="D128" s="73"/>
      <c r="E128" s="197" t="str">
        <f>IF(Dades!E718="","",Dades!E718)</f>
        <v/>
      </c>
      <c r="F128" s="396">
        <f>(DSUM('1_Combustibles fòssils'!$E$17:$N$39,"emissions",'6.1_Resultats Illes Balears'!E$71:E128)/1000)-SUM(F$72:F127)</f>
        <v>0</v>
      </c>
      <c r="G128" s="396">
        <f>((DSUM('1_Combustibles fòssils'!$E$47:$U$67,"emissions1",'6.1_Resultats Illes Balears'!E$71:E128)+DSUM('1_Combustibles fòssils'!$E$47:$U$67,"emissions2",'6.1_Resultats Illes Balears'!E$71:E128))/1000)-SUM(G$72:G127)</f>
        <v>0</v>
      </c>
      <c r="H128" s="396">
        <f>(DSUM('2_Fluorats'!$E$11:$P$33,"emissions",'6.1_Resultats Illes Balears'!E$71:E128)/1000)-SUM(H$72:H127)</f>
        <v>0</v>
      </c>
      <c r="I128" s="507">
        <f>(DSUM('3_Emissions processos'!$E$13:$K$35,"emissions",'6.1_Resultats Illes Balears'!E$71:E128)/1000)-SUM(I$72:I127)</f>
        <v>0</v>
      </c>
      <c r="J128" s="507"/>
      <c r="K128" s="508">
        <f t="shared" si="0"/>
        <v>0</v>
      </c>
      <c r="L128" s="508"/>
      <c r="M128" s="508"/>
      <c r="N128" s="507">
        <f>((DSUM('4.1_Electricitat Illes Balears'!$E$20:$J$42,"emisiones",'6.1_Resultats Illes Balears'!E$71:E128)+DSUM('4.1_Electricitat Illes Balears'!$E$50:$K$70,"emisiones",'6.1_Resultats Illes Balears'!E$71:E128))/1000)-SUM(N$72:N127)</f>
        <v>0</v>
      </c>
      <c r="O128" s="508"/>
      <c r="P128" s="508">
        <f t="shared" si="1"/>
        <v>0</v>
      </c>
      <c r="Q128" s="508"/>
      <c r="R128" s="508"/>
      <c r="S128" s="73"/>
      <c r="T128" s="73"/>
      <c r="U128" s="73"/>
    </row>
    <row r="129" spans="1:21" x14ac:dyDescent="0.3">
      <c r="A129" s="198"/>
      <c r="B129" s="195"/>
      <c r="C129" s="73"/>
      <c r="D129" s="73"/>
      <c r="E129" s="197" t="str">
        <f>IF(Dades!E719="","",Dades!E719)</f>
        <v/>
      </c>
      <c r="F129" s="396">
        <f>(DSUM('1_Combustibles fòssils'!$E$17:$N$39,"emissions",'6.1_Resultats Illes Balears'!E$71:E129)/1000)-SUM(F$72:F128)</f>
        <v>0</v>
      </c>
      <c r="G129" s="396">
        <f>((DSUM('1_Combustibles fòssils'!$E$47:$U$67,"emissions1",'6.1_Resultats Illes Balears'!E$71:E129)+DSUM('1_Combustibles fòssils'!$E$47:$U$67,"emissions2",'6.1_Resultats Illes Balears'!E$71:E129))/1000)-SUM(G$72:G128)</f>
        <v>0</v>
      </c>
      <c r="H129" s="396">
        <f>(DSUM('2_Fluorats'!$E$11:$P$33,"emissions",'6.1_Resultats Illes Balears'!E$71:E129)/1000)-SUM(H$72:H128)</f>
        <v>0</v>
      </c>
      <c r="I129" s="507">
        <f>(DSUM('3_Emissions processos'!$E$13:$K$35,"emissions",'6.1_Resultats Illes Balears'!E$71:E129)/1000)-SUM(I$72:I128)</f>
        <v>0</v>
      </c>
      <c r="J129" s="507"/>
      <c r="K129" s="508">
        <f t="shared" si="0"/>
        <v>0</v>
      </c>
      <c r="L129" s="508"/>
      <c r="M129" s="508"/>
      <c r="N129" s="507">
        <f>((DSUM('4.1_Electricitat Illes Balears'!$E$20:$J$42,"emisiones",'6.1_Resultats Illes Balears'!E$71:E129)+DSUM('4.1_Electricitat Illes Balears'!$E$50:$K$70,"emisiones",'6.1_Resultats Illes Balears'!E$71:E129))/1000)-SUM(N$72:N128)</f>
        <v>0</v>
      </c>
      <c r="O129" s="508"/>
      <c r="P129" s="508">
        <f t="shared" si="1"/>
        <v>0</v>
      </c>
      <c r="Q129" s="508"/>
      <c r="R129" s="508"/>
      <c r="S129" s="73"/>
      <c r="T129" s="73"/>
      <c r="U129" s="73"/>
    </row>
    <row r="130" spans="1:21" x14ac:dyDescent="0.3">
      <c r="A130" s="198"/>
      <c r="B130" s="195"/>
      <c r="C130" s="73"/>
      <c r="D130" s="73"/>
      <c r="E130" s="197" t="str">
        <f>IF(Dades!E720="","",Dades!E720)</f>
        <v/>
      </c>
      <c r="F130" s="396">
        <f>(DSUM('1_Combustibles fòssils'!$E$17:$N$39,"emissions",'6.1_Resultats Illes Balears'!E$71:E130)/1000)-SUM(F$72:F129)</f>
        <v>0</v>
      </c>
      <c r="G130" s="396">
        <f>((DSUM('1_Combustibles fòssils'!$E$47:$U$67,"emissions1",'6.1_Resultats Illes Balears'!E$71:E130)+DSUM('1_Combustibles fòssils'!$E$47:$U$67,"emissions2",'6.1_Resultats Illes Balears'!E$71:E130))/1000)-SUM(G$72:G129)</f>
        <v>0</v>
      </c>
      <c r="H130" s="396">
        <f>(DSUM('2_Fluorats'!$E$11:$P$33,"emissions",'6.1_Resultats Illes Balears'!E$71:E130)/1000)-SUM(H$72:H129)</f>
        <v>0</v>
      </c>
      <c r="I130" s="507">
        <f>(DSUM('3_Emissions processos'!$E$13:$K$35,"emissions",'6.1_Resultats Illes Balears'!E$71:E130)/1000)-SUM(I$72:I129)</f>
        <v>0</v>
      </c>
      <c r="J130" s="507"/>
      <c r="K130" s="508">
        <f t="shared" si="0"/>
        <v>0</v>
      </c>
      <c r="L130" s="508"/>
      <c r="M130" s="508"/>
      <c r="N130" s="507">
        <f>((DSUM('4.1_Electricitat Illes Balears'!$E$20:$J$42,"emisiones",'6.1_Resultats Illes Balears'!E$71:E130)+DSUM('4.1_Electricitat Illes Balears'!$E$50:$K$70,"emisiones",'6.1_Resultats Illes Balears'!E$71:E130))/1000)-SUM(N$72:N129)</f>
        <v>0</v>
      </c>
      <c r="O130" s="508"/>
      <c r="P130" s="508">
        <f t="shared" si="1"/>
        <v>0</v>
      </c>
      <c r="Q130" s="508"/>
      <c r="R130" s="508"/>
      <c r="S130" s="73"/>
      <c r="T130" s="73"/>
      <c r="U130" s="73"/>
    </row>
    <row r="131" spans="1:21" x14ac:dyDescent="0.3">
      <c r="A131" s="198"/>
      <c r="B131" s="195"/>
      <c r="C131" s="73"/>
      <c r="D131" s="73"/>
      <c r="E131" s="197" t="str">
        <f>IF(Dades!E721="","",Dades!E721)</f>
        <v/>
      </c>
      <c r="F131" s="396">
        <f>(DSUM('1_Combustibles fòssils'!$E$17:$N$39,"emissions",'6.1_Resultats Illes Balears'!E$71:E131)/1000)-SUM(F$72:F130)</f>
        <v>0</v>
      </c>
      <c r="G131" s="396">
        <f>((DSUM('1_Combustibles fòssils'!$E$47:$U$67,"emissions1",'6.1_Resultats Illes Balears'!E$71:E131)+DSUM('1_Combustibles fòssils'!$E$47:$U$67,"emissions2",'6.1_Resultats Illes Balears'!E$71:E131))/1000)-SUM(G$72:G130)</f>
        <v>0</v>
      </c>
      <c r="H131" s="396">
        <f>(DSUM('2_Fluorats'!$E$11:$P$33,"emissions",'6.1_Resultats Illes Balears'!E$71:E131)/1000)-SUM(H$72:H130)</f>
        <v>0</v>
      </c>
      <c r="I131" s="507">
        <f>(DSUM('3_Emissions processos'!$E$13:$K$35,"emissions",'6.1_Resultats Illes Balears'!E$71:E131)/1000)-SUM(I$72:I130)</f>
        <v>0</v>
      </c>
      <c r="J131" s="507"/>
      <c r="K131" s="508">
        <f t="shared" si="0"/>
        <v>0</v>
      </c>
      <c r="L131" s="508"/>
      <c r="M131" s="508"/>
      <c r="N131" s="507">
        <f>((DSUM('4.1_Electricitat Illes Balears'!$E$20:$J$42,"emisiones",'6.1_Resultats Illes Balears'!E$71:E131)+DSUM('4.1_Electricitat Illes Balears'!$E$50:$K$70,"emisiones",'6.1_Resultats Illes Balears'!E$71:E131))/1000)-SUM(N$72:N130)</f>
        <v>0</v>
      </c>
      <c r="O131" s="508"/>
      <c r="P131" s="508">
        <f t="shared" si="1"/>
        <v>0</v>
      </c>
      <c r="Q131" s="508"/>
      <c r="R131" s="508"/>
      <c r="S131" s="73"/>
      <c r="T131" s="73"/>
      <c r="U131" s="73"/>
    </row>
    <row r="132" spans="1:21" ht="16.5" customHeight="1" x14ac:dyDescent="0.3">
      <c r="A132" s="198"/>
      <c r="B132" s="195"/>
      <c r="C132" s="73"/>
      <c r="D132" s="73"/>
      <c r="E132" s="197" t="str">
        <f>IF(Dades!E722="","",Dades!E722)</f>
        <v/>
      </c>
      <c r="F132" s="396">
        <f>(DSUM('1_Combustibles fòssils'!$E$17:$N$39,"emissions",'6.1_Resultats Illes Balears'!E$71:E132)/1000)-SUM(F$72:F131)</f>
        <v>0</v>
      </c>
      <c r="G132" s="396">
        <f>((DSUM('1_Combustibles fòssils'!$E$47:$U$67,"emissions1",'6.1_Resultats Illes Balears'!E$71:E132)+DSUM('1_Combustibles fòssils'!$E$47:$U$67,"emissions2",'6.1_Resultats Illes Balears'!E$71:E132))/1000)-SUM(G$72:G131)</f>
        <v>0</v>
      </c>
      <c r="H132" s="396">
        <f>(DSUM('2_Fluorats'!$E$11:$P$33,"emissions",'6.1_Resultats Illes Balears'!E$71:E132)/1000)-SUM(H$72:H131)</f>
        <v>0</v>
      </c>
      <c r="I132" s="507">
        <f>(DSUM('3_Emissions processos'!$E$13:$K$35,"emissions",'6.1_Resultats Illes Balears'!E$71:E132)/1000)-SUM(I$72:I131)</f>
        <v>0</v>
      </c>
      <c r="J132" s="507"/>
      <c r="K132" s="508">
        <f t="shared" si="0"/>
        <v>0</v>
      </c>
      <c r="L132" s="508"/>
      <c r="M132" s="508"/>
      <c r="N132" s="507">
        <f>((DSUM('4.1_Electricitat Illes Balears'!$E$20:$J$42,"emisiones",'6.1_Resultats Illes Balears'!E$71:E132)+DSUM('4.1_Electricitat Illes Balears'!$E$50:$K$70,"emisiones",'6.1_Resultats Illes Balears'!E$71:E132))/1000)-SUM(N$72:N131)</f>
        <v>0</v>
      </c>
      <c r="O132" s="508"/>
      <c r="P132" s="508">
        <f t="shared" si="1"/>
        <v>0</v>
      </c>
      <c r="Q132" s="508"/>
      <c r="R132" s="508"/>
      <c r="S132" s="73"/>
      <c r="T132" s="73"/>
      <c r="U132" s="73"/>
    </row>
    <row r="133" spans="1:21" ht="16.5" customHeight="1" x14ac:dyDescent="0.3">
      <c r="A133" s="198"/>
      <c r="B133" s="195"/>
      <c r="C133" s="73"/>
      <c r="D133" s="73"/>
      <c r="E133" s="197" t="str">
        <f>IF(Dades!E723="","",Dades!E723)</f>
        <v/>
      </c>
      <c r="F133" s="396">
        <f>(DSUM('1_Combustibles fòssils'!$E$17:$N$39,"emissions",'6.1_Resultats Illes Balears'!E$71:E133)/1000)-SUM(F$72:F132)</f>
        <v>0</v>
      </c>
      <c r="G133" s="396">
        <f>((DSUM('1_Combustibles fòssils'!$E$47:$U$67,"emissions1",'6.1_Resultats Illes Balears'!E$71:E133)+DSUM('1_Combustibles fòssils'!$E$47:$U$67,"emissions2",'6.1_Resultats Illes Balears'!E$71:E133))/1000)-SUM(G$72:G132)</f>
        <v>0</v>
      </c>
      <c r="H133" s="396">
        <f>(DSUM('2_Fluorats'!$E$11:$P$33,"emissions",'6.1_Resultats Illes Balears'!E$71:E133)/1000)-SUM(H$72:H132)</f>
        <v>0</v>
      </c>
      <c r="I133" s="507">
        <f>(DSUM('3_Emissions processos'!$E$13:$K$35,"emissions",'6.1_Resultats Illes Balears'!E$71:E133)/1000)-SUM(I$72:I132)</f>
        <v>0</v>
      </c>
      <c r="J133" s="507"/>
      <c r="K133" s="508">
        <f t="shared" si="0"/>
        <v>0</v>
      </c>
      <c r="L133" s="508"/>
      <c r="M133" s="508"/>
      <c r="N133" s="507">
        <f>((DSUM('4.1_Electricitat Illes Balears'!$E$20:$J$42,"emisiones",'6.1_Resultats Illes Balears'!E$71:E133)+DSUM('4.1_Electricitat Illes Balears'!$E$50:$K$70,"emisiones",'6.1_Resultats Illes Balears'!E$71:E133))/1000)-SUM(N$72:N132)</f>
        <v>0</v>
      </c>
      <c r="O133" s="508"/>
      <c r="P133" s="508">
        <f t="shared" si="1"/>
        <v>0</v>
      </c>
      <c r="Q133" s="508"/>
      <c r="R133" s="508"/>
      <c r="S133" s="73"/>
      <c r="T133" s="73"/>
      <c r="U133" s="73"/>
    </row>
    <row r="134" spans="1:21" ht="16.5" customHeight="1" x14ac:dyDescent="0.3">
      <c r="A134" s="198"/>
      <c r="B134" s="195"/>
      <c r="C134" s="73"/>
      <c r="D134" s="73"/>
      <c r="E134" s="197" t="str">
        <f>IF(Dades!E724="","",Dades!E724)</f>
        <v/>
      </c>
      <c r="F134" s="396">
        <f>(DSUM('1_Combustibles fòssils'!$E$17:$N$39,"emissions",'6.1_Resultats Illes Balears'!E$71:E134)/1000)-SUM(F$72:F133)</f>
        <v>0</v>
      </c>
      <c r="G134" s="396">
        <f>((DSUM('1_Combustibles fòssils'!$E$47:$U$67,"emissions1",'6.1_Resultats Illes Balears'!E$71:E134)+DSUM('1_Combustibles fòssils'!$E$47:$U$67,"emissions2",'6.1_Resultats Illes Balears'!E$71:E134))/1000)-SUM(G$72:G133)</f>
        <v>0</v>
      </c>
      <c r="H134" s="396">
        <f>(DSUM('2_Fluorats'!$E$11:$P$33,"emissions",'6.1_Resultats Illes Balears'!E$71:E134)/1000)-SUM(H$72:H133)</f>
        <v>0</v>
      </c>
      <c r="I134" s="507">
        <f>(DSUM('3_Emissions processos'!$E$13:$K$35,"emissions",'6.1_Resultats Illes Balears'!E$71:E134)/1000)-SUM(I$72:I133)</f>
        <v>0</v>
      </c>
      <c r="J134" s="507"/>
      <c r="K134" s="508">
        <f t="shared" si="0"/>
        <v>0</v>
      </c>
      <c r="L134" s="508"/>
      <c r="M134" s="508"/>
      <c r="N134" s="507">
        <f>((DSUM('4.1_Electricitat Illes Balears'!$E$20:$J$42,"emisiones",'6.1_Resultats Illes Balears'!E$71:E134)+DSUM('4.1_Electricitat Illes Balears'!$E$50:$K$70,"emisiones",'6.1_Resultats Illes Balears'!E$71:E134))/1000)-SUM(N$72:N133)</f>
        <v>0</v>
      </c>
      <c r="O134" s="508"/>
      <c r="P134" s="508">
        <f t="shared" si="1"/>
        <v>0</v>
      </c>
      <c r="Q134" s="508"/>
      <c r="R134" s="508"/>
      <c r="S134" s="73"/>
      <c r="T134" s="73"/>
      <c r="U134" s="73"/>
    </row>
    <row r="135" spans="1:21" ht="16.5" customHeight="1" x14ac:dyDescent="0.3">
      <c r="A135" s="198"/>
      <c r="B135" s="195"/>
      <c r="C135" s="73"/>
      <c r="D135" s="73"/>
      <c r="E135" s="197" t="str">
        <f>IF(Dades!E725="","",Dades!E725)</f>
        <v/>
      </c>
      <c r="F135" s="396">
        <f>(DSUM('1_Combustibles fòssils'!$E$17:$N$39,"emissions",'6.1_Resultats Illes Balears'!E$71:E135)/1000)-SUM(F$72:F134)</f>
        <v>0</v>
      </c>
      <c r="G135" s="396">
        <f>((DSUM('1_Combustibles fòssils'!$E$47:$U$67,"emissions1",'6.1_Resultats Illes Balears'!E$71:E135)+DSUM('1_Combustibles fòssils'!$E$47:$U$67,"emissions2",'6.1_Resultats Illes Balears'!E$71:E135))/1000)-SUM(G$72:G134)</f>
        <v>0</v>
      </c>
      <c r="H135" s="396">
        <f>(DSUM('2_Fluorats'!$E$11:$P$33,"emissions",'6.1_Resultats Illes Balears'!E$71:E135)/1000)-SUM(H$72:H134)</f>
        <v>0</v>
      </c>
      <c r="I135" s="507">
        <f>(DSUM('3_Emissions processos'!$E$13:$K$35,"emissions",'6.1_Resultats Illes Balears'!E$71:E135)/1000)-SUM(I$72:I134)</f>
        <v>0</v>
      </c>
      <c r="J135" s="507"/>
      <c r="K135" s="508">
        <f t="shared" si="0"/>
        <v>0</v>
      </c>
      <c r="L135" s="508"/>
      <c r="M135" s="508"/>
      <c r="N135" s="507">
        <f>((DSUM('4.1_Electricitat Illes Balears'!$E$20:$J$42,"emisiones",'6.1_Resultats Illes Balears'!E$71:E135)+DSUM('4.1_Electricitat Illes Balears'!$E$50:$K$70,"emisiones",'6.1_Resultats Illes Balears'!E$71:E135))/1000)-SUM(N$72:N134)</f>
        <v>0</v>
      </c>
      <c r="O135" s="508"/>
      <c r="P135" s="508">
        <f t="shared" si="1"/>
        <v>0</v>
      </c>
      <c r="Q135" s="508"/>
      <c r="R135" s="508"/>
      <c r="S135" s="73"/>
      <c r="T135" s="73"/>
      <c r="U135" s="73"/>
    </row>
    <row r="136" spans="1:21" ht="16.5" customHeight="1" x14ac:dyDescent="0.3">
      <c r="A136" s="198"/>
      <c r="B136" s="195"/>
      <c r="C136" s="73"/>
      <c r="D136" s="73"/>
      <c r="E136" s="197" t="str">
        <f>IF(Dades!E726="","",Dades!E726)</f>
        <v/>
      </c>
      <c r="F136" s="396">
        <f>(DSUM('1_Combustibles fòssils'!$E$17:$N$39,"emissions",'6.1_Resultats Illes Balears'!E$71:E136)/1000)-SUM(F$72:F135)</f>
        <v>0</v>
      </c>
      <c r="G136" s="396">
        <f>((DSUM('1_Combustibles fòssils'!$E$47:$U$67,"emissions1",'6.1_Resultats Illes Balears'!E$71:E136)+DSUM('1_Combustibles fòssils'!$E$47:$U$67,"emissions2",'6.1_Resultats Illes Balears'!E$71:E136))/1000)-SUM(G$72:G135)</f>
        <v>0</v>
      </c>
      <c r="H136" s="396">
        <f>(DSUM('2_Fluorats'!$E$11:$P$33,"emissions",'6.1_Resultats Illes Balears'!E$71:E136)/1000)-SUM(H$72:H135)</f>
        <v>0</v>
      </c>
      <c r="I136" s="507">
        <f>(DSUM('3_Emissions processos'!$E$13:$K$35,"emissions",'6.1_Resultats Illes Balears'!E$71:E136)/1000)-SUM(I$72:I135)</f>
        <v>0</v>
      </c>
      <c r="J136" s="507"/>
      <c r="K136" s="508">
        <f t="shared" si="0"/>
        <v>0</v>
      </c>
      <c r="L136" s="508"/>
      <c r="M136" s="508"/>
      <c r="N136" s="507">
        <f>((DSUM('4.1_Electricitat Illes Balears'!$E$20:$J$42,"emisiones",'6.1_Resultats Illes Balears'!E$71:E136)+DSUM('4.1_Electricitat Illes Balears'!$E$50:$K$70,"emisiones",'6.1_Resultats Illes Balears'!E$71:E136))/1000)-SUM(N$72:N135)</f>
        <v>0</v>
      </c>
      <c r="O136" s="508"/>
      <c r="P136" s="508">
        <f t="shared" si="1"/>
        <v>0</v>
      </c>
      <c r="Q136" s="508"/>
      <c r="R136" s="508"/>
      <c r="S136" s="73"/>
      <c r="T136" s="73"/>
      <c r="U136" s="73"/>
    </row>
    <row r="137" spans="1:21" x14ac:dyDescent="0.3">
      <c r="A137" s="198"/>
      <c r="B137" s="195"/>
      <c r="C137" s="73"/>
      <c r="D137" s="73"/>
      <c r="E137" s="197" t="str">
        <f>IF(Dades!E727="","",Dades!E727)</f>
        <v/>
      </c>
      <c r="F137" s="396">
        <f>(DSUM('1_Combustibles fòssils'!$E$17:$N$39,"emissions",'6.1_Resultats Illes Balears'!E$71:E137)/1000)-SUM(F$72:F136)</f>
        <v>0</v>
      </c>
      <c r="G137" s="396">
        <f>((DSUM('1_Combustibles fòssils'!$E$47:$U$67,"emissions1",'6.1_Resultats Illes Balears'!E$71:E137)+DSUM('1_Combustibles fòssils'!$E$47:$U$67,"emissions2",'6.1_Resultats Illes Balears'!E$71:E137))/1000)-SUM(G$72:G136)</f>
        <v>0</v>
      </c>
      <c r="H137" s="396">
        <f>(DSUM('2_Fluorats'!$E$11:$P$33,"emissions",'6.1_Resultats Illes Balears'!E$71:E137)/1000)-SUM(H$72:H136)</f>
        <v>0</v>
      </c>
      <c r="I137" s="507">
        <f>(DSUM('3_Emissions processos'!$E$13:$K$35,"emissions",'6.1_Resultats Illes Balears'!E$71:E137)/1000)-SUM(I$72:I136)</f>
        <v>0</v>
      </c>
      <c r="J137" s="507"/>
      <c r="K137" s="508">
        <f t="shared" si="0"/>
        <v>0</v>
      </c>
      <c r="L137" s="508"/>
      <c r="M137" s="508"/>
      <c r="N137" s="507">
        <f>((DSUM('4.1_Electricitat Illes Balears'!$E$20:$J$42,"emisiones",'6.1_Resultats Illes Balears'!E$71:E137)+DSUM('4.1_Electricitat Illes Balears'!$E$50:$K$70,"emisiones",'6.1_Resultats Illes Balears'!E$71:E137))/1000)-SUM(N$72:N136)</f>
        <v>0</v>
      </c>
      <c r="O137" s="508"/>
      <c r="P137" s="508">
        <f t="shared" si="1"/>
        <v>0</v>
      </c>
      <c r="Q137" s="508"/>
      <c r="R137" s="508"/>
      <c r="S137" s="73"/>
      <c r="T137" s="73"/>
      <c r="U137" s="73"/>
    </row>
    <row r="138" spans="1:21" ht="16.5" customHeight="1" x14ac:dyDescent="0.3">
      <c r="A138" s="198"/>
      <c r="B138" s="195"/>
      <c r="C138" s="73"/>
      <c r="D138" s="73"/>
      <c r="E138" s="197" t="str">
        <f>IF(Dades!E728="","",Dades!E728)</f>
        <v/>
      </c>
      <c r="F138" s="396">
        <f>(DSUM('1_Combustibles fòssils'!$E$17:$N$39,"emissions",'6.1_Resultats Illes Balears'!E$71:E138)/1000)-SUM(F$72:F137)</f>
        <v>0</v>
      </c>
      <c r="G138" s="396">
        <f>((DSUM('1_Combustibles fòssils'!$E$47:$U$67,"emissions1",'6.1_Resultats Illes Balears'!E$71:E138)+DSUM('1_Combustibles fòssils'!$E$47:$U$67,"emissions2",'6.1_Resultats Illes Balears'!E$71:E138))/1000)-SUM(G$72:G137)</f>
        <v>0</v>
      </c>
      <c r="H138" s="396">
        <f>(DSUM('2_Fluorats'!$E$11:$P$33,"emissions",'6.1_Resultats Illes Balears'!E$71:E138)/1000)-SUM(H$72:H137)</f>
        <v>0</v>
      </c>
      <c r="I138" s="507">
        <f>(DSUM('3_Emissions processos'!$E$13:$K$35,"emissions",'6.1_Resultats Illes Balears'!E$71:E138)/1000)-SUM(I$72:I137)</f>
        <v>0</v>
      </c>
      <c r="J138" s="507"/>
      <c r="K138" s="508">
        <f t="shared" ref="K138:K201" si="2">SUM(F138:J138)</f>
        <v>0</v>
      </c>
      <c r="L138" s="508"/>
      <c r="M138" s="508"/>
      <c r="N138" s="507">
        <f>((DSUM('4.1_Electricitat Illes Balears'!$E$20:$J$42,"emisiones",'6.1_Resultats Illes Balears'!E$71:E138)+DSUM('4.1_Electricitat Illes Balears'!$E$50:$K$70,"emisiones",'6.1_Resultats Illes Balears'!E$71:E138))/1000)-SUM(N$72:N137)</f>
        <v>0</v>
      </c>
      <c r="O138" s="508"/>
      <c r="P138" s="508">
        <f t="shared" ref="P138:P201" si="3">K138+N138</f>
        <v>0</v>
      </c>
      <c r="Q138" s="508"/>
      <c r="R138" s="508"/>
      <c r="S138" s="73"/>
      <c r="T138" s="73"/>
      <c r="U138" s="73"/>
    </row>
    <row r="139" spans="1:21" x14ac:dyDescent="0.3">
      <c r="A139" s="198"/>
      <c r="B139" s="195"/>
      <c r="C139" s="73"/>
      <c r="D139" s="73"/>
      <c r="E139" s="197" t="str">
        <f>IF(Dades!E729="","",Dades!E729)</f>
        <v/>
      </c>
      <c r="F139" s="396">
        <f>(DSUM('1_Combustibles fòssils'!$E$17:$N$39,"emissions",'6.1_Resultats Illes Balears'!E$71:E139)/1000)-SUM(F$72:F138)</f>
        <v>0</v>
      </c>
      <c r="G139" s="396">
        <f>((DSUM('1_Combustibles fòssils'!$E$47:$U$67,"emissions1",'6.1_Resultats Illes Balears'!E$71:E139)+DSUM('1_Combustibles fòssils'!$E$47:$U$67,"emissions2",'6.1_Resultats Illes Balears'!E$71:E139))/1000)-SUM(G$72:G138)</f>
        <v>0</v>
      </c>
      <c r="H139" s="396">
        <f>(DSUM('2_Fluorats'!$E$11:$P$33,"emissions",'6.1_Resultats Illes Balears'!E$71:E139)/1000)-SUM(H$72:H138)</f>
        <v>0</v>
      </c>
      <c r="I139" s="507">
        <f>(DSUM('3_Emissions processos'!$E$13:$K$35,"emissions",'6.1_Resultats Illes Balears'!E$71:E139)/1000)-SUM(I$72:I138)</f>
        <v>0</v>
      </c>
      <c r="J139" s="507"/>
      <c r="K139" s="508">
        <f t="shared" si="2"/>
        <v>0</v>
      </c>
      <c r="L139" s="508"/>
      <c r="M139" s="508"/>
      <c r="N139" s="507">
        <f>((DSUM('4.1_Electricitat Illes Balears'!$E$20:$J$42,"emisiones",'6.1_Resultats Illes Balears'!E$71:E139)+DSUM('4.1_Electricitat Illes Balears'!$E$50:$K$70,"emisiones",'6.1_Resultats Illes Balears'!E$71:E139))/1000)-SUM(N$72:N138)</f>
        <v>0</v>
      </c>
      <c r="O139" s="508"/>
      <c r="P139" s="508">
        <f t="shared" si="3"/>
        <v>0</v>
      </c>
      <c r="Q139" s="508"/>
      <c r="R139" s="508"/>
      <c r="S139" s="73"/>
      <c r="T139" s="73"/>
      <c r="U139" s="73"/>
    </row>
    <row r="140" spans="1:21" x14ac:dyDescent="0.3">
      <c r="A140" s="198"/>
      <c r="B140" s="195"/>
      <c r="C140" s="73"/>
      <c r="D140" s="73"/>
      <c r="E140" s="197" t="str">
        <f>IF(Dades!E730="","",Dades!E730)</f>
        <v/>
      </c>
      <c r="F140" s="396">
        <f>(DSUM('1_Combustibles fòssils'!$E$17:$N$39,"emissions",'6.1_Resultats Illes Balears'!E$71:E140)/1000)-SUM(F$72:F139)</f>
        <v>0</v>
      </c>
      <c r="G140" s="396">
        <f>((DSUM('1_Combustibles fòssils'!$E$47:$U$67,"emissions1",'6.1_Resultats Illes Balears'!E$71:E140)+DSUM('1_Combustibles fòssils'!$E$47:$U$67,"emissions2",'6.1_Resultats Illes Balears'!E$71:E140))/1000)-SUM(G$72:G139)</f>
        <v>0</v>
      </c>
      <c r="H140" s="396">
        <f>(DSUM('2_Fluorats'!$E$11:$P$33,"emissions",'6.1_Resultats Illes Balears'!E$71:E140)/1000)-SUM(H$72:H139)</f>
        <v>0</v>
      </c>
      <c r="I140" s="507">
        <f>(DSUM('3_Emissions processos'!$E$13:$K$35,"emissions",'6.1_Resultats Illes Balears'!E$71:E140)/1000)-SUM(I$72:I139)</f>
        <v>0</v>
      </c>
      <c r="J140" s="507"/>
      <c r="K140" s="508">
        <f t="shared" si="2"/>
        <v>0</v>
      </c>
      <c r="L140" s="508"/>
      <c r="M140" s="508"/>
      <c r="N140" s="507">
        <f>((DSUM('4.1_Electricitat Illes Balears'!$E$20:$J$42,"emisiones",'6.1_Resultats Illes Balears'!E$71:E140)+DSUM('4.1_Electricitat Illes Balears'!$E$50:$K$70,"emisiones",'6.1_Resultats Illes Balears'!E$71:E140))/1000)-SUM(N$72:N139)</f>
        <v>0</v>
      </c>
      <c r="O140" s="508"/>
      <c r="P140" s="508">
        <f t="shared" si="3"/>
        <v>0</v>
      </c>
      <c r="Q140" s="508"/>
      <c r="R140" s="508"/>
      <c r="S140" s="73"/>
      <c r="T140" s="73"/>
      <c r="U140" s="73"/>
    </row>
    <row r="141" spans="1:21" x14ac:dyDescent="0.3">
      <c r="A141" s="198"/>
      <c r="B141" s="195"/>
      <c r="C141" s="73"/>
      <c r="D141" s="73"/>
      <c r="E141" s="197" t="str">
        <f>IF(Dades!E731="","",Dades!E731)</f>
        <v/>
      </c>
      <c r="F141" s="396">
        <f>(DSUM('1_Combustibles fòssils'!$E$17:$N$39,"emissions",'6.1_Resultats Illes Balears'!E$71:E141)/1000)-SUM(F$72:F140)</f>
        <v>0</v>
      </c>
      <c r="G141" s="396">
        <f>((DSUM('1_Combustibles fòssils'!$E$47:$U$67,"emissions1",'6.1_Resultats Illes Balears'!E$71:E141)+DSUM('1_Combustibles fòssils'!$E$47:$U$67,"emissions2",'6.1_Resultats Illes Balears'!E$71:E141))/1000)-SUM(G$72:G140)</f>
        <v>0</v>
      </c>
      <c r="H141" s="396">
        <f>(DSUM('2_Fluorats'!$E$11:$P$33,"emissions",'6.1_Resultats Illes Balears'!E$71:E141)/1000)-SUM(H$72:H140)</f>
        <v>0</v>
      </c>
      <c r="I141" s="507">
        <f>(DSUM('3_Emissions processos'!$E$13:$K$35,"emissions",'6.1_Resultats Illes Balears'!E$71:E141)/1000)-SUM(I$72:I140)</f>
        <v>0</v>
      </c>
      <c r="J141" s="507"/>
      <c r="K141" s="508">
        <f t="shared" si="2"/>
        <v>0</v>
      </c>
      <c r="L141" s="508"/>
      <c r="M141" s="508"/>
      <c r="N141" s="507">
        <f>((DSUM('4.1_Electricitat Illes Balears'!$E$20:$J$42,"emisiones",'6.1_Resultats Illes Balears'!E$71:E141)+DSUM('4.1_Electricitat Illes Balears'!$E$50:$K$70,"emisiones",'6.1_Resultats Illes Balears'!E$71:E141))/1000)-SUM(N$72:N140)</f>
        <v>0</v>
      </c>
      <c r="O141" s="508"/>
      <c r="P141" s="508">
        <f t="shared" si="3"/>
        <v>0</v>
      </c>
      <c r="Q141" s="508"/>
      <c r="R141" s="508"/>
      <c r="S141" s="73"/>
      <c r="T141" s="73"/>
      <c r="U141" s="73"/>
    </row>
    <row r="142" spans="1:21" x14ac:dyDescent="0.3">
      <c r="A142" s="198"/>
      <c r="B142" s="195"/>
      <c r="C142" s="73"/>
      <c r="D142" s="73"/>
      <c r="E142" s="197" t="str">
        <f>IF(Dades!E732="","",Dades!E732)</f>
        <v/>
      </c>
      <c r="F142" s="396">
        <f>(DSUM('1_Combustibles fòssils'!$E$17:$N$39,"emissions",'6.1_Resultats Illes Balears'!E$71:E142)/1000)-SUM(F$72:F141)</f>
        <v>0</v>
      </c>
      <c r="G142" s="396">
        <f>((DSUM('1_Combustibles fòssils'!$E$47:$U$67,"emissions1",'6.1_Resultats Illes Balears'!E$71:E142)+DSUM('1_Combustibles fòssils'!$E$47:$U$67,"emissions2",'6.1_Resultats Illes Balears'!E$71:E142))/1000)-SUM(G$72:G141)</f>
        <v>0</v>
      </c>
      <c r="H142" s="396">
        <f>(DSUM('2_Fluorats'!$E$11:$P$33,"emissions",'6.1_Resultats Illes Balears'!E$71:E142)/1000)-SUM(H$72:H141)</f>
        <v>0</v>
      </c>
      <c r="I142" s="507">
        <f>(DSUM('3_Emissions processos'!$E$13:$K$35,"emissions",'6.1_Resultats Illes Balears'!E$71:E142)/1000)-SUM(I$72:I141)</f>
        <v>0</v>
      </c>
      <c r="J142" s="507"/>
      <c r="K142" s="508">
        <f t="shared" si="2"/>
        <v>0</v>
      </c>
      <c r="L142" s="508"/>
      <c r="M142" s="508"/>
      <c r="N142" s="507">
        <f>((DSUM('4.1_Electricitat Illes Balears'!$E$20:$J$42,"emisiones",'6.1_Resultats Illes Balears'!E$71:E142)+DSUM('4.1_Electricitat Illes Balears'!$E$50:$K$70,"emisiones",'6.1_Resultats Illes Balears'!E$71:E142))/1000)-SUM(N$72:N141)</f>
        <v>0</v>
      </c>
      <c r="O142" s="508"/>
      <c r="P142" s="508">
        <f t="shared" si="3"/>
        <v>0</v>
      </c>
      <c r="Q142" s="508"/>
      <c r="R142" s="508"/>
      <c r="S142" s="73"/>
      <c r="T142" s="73"/>
      <c r="U142" s="73"/>
    </row>
    <row r="143" spans="1:21" x14ac:dyDescent="0.3">
      <c r="A143" s="198"/>
      <c r="B143" s="195"/>
      <c r="C143" s="73"/>
      <c r="D143" s="73"/>
      <c r="E143" s="197" t="str">
        <f>IF(Dades!E733="","",Dades!E733)</f>
        <v/>
      </c>
      <c r="F143" s="396">
        <f>(DSUM('1_Combustibles fòssils'!$E$17:$N$39,"emissions",'6.1_Resultats Illes Balears'!E$71:E143)/1000)-SUM(F$72:F142)</f>
        <v>0</v>
      </c>
      <c r="G143" s="396">
        <f>((DSUM('1_Combustibles fòssils'!$E$47:$U$67,"emissions1",'6.1_Resultats Illes Balears'!E$71:E143)+DSUM('1_Combustibles fòssils'!$E$47:$U$67,"emissions2",'6.1_Resultats Illes Balears'!E$71:E143))/1000)-SUM(G$72:G142)</f>
        <v>0</v>
      </c>
      <c r="H143" s="396">
        <f>(DSUM('2_Fluorats'!$E$11:$P$33,"emissions",'6.1_Resultats Illes Balears'!E$71:E143)/1000)-SUM(H$72:H142)</f>
        <v>0</v>
      </c>
      <c r="I143" s="507">
        <f>(DSUM('3_Emissions processos'!$E$13:$K$35,"emissions",'6.1_Resultats Illes Balears'!E$71:E143)/1000)-SUM(I$72:I142)</f>
        <v>0</v>
      </c>
      <c r="J143" s="507"/>
      <c r="K143" s="508">
        <f t="shared" si="2"/>
        <v>0</v>
      </c>
      <c r="L143" s="508"/>
      <c r="M143" s="508"/>
      <c r="N143" s="507">
        <f>((DSUM('4.1_Electricitat Illes Balears'!$E$20:$J$42,"emisiones",'6.1_Resultats Illes Balears'!E$71:E143)+DSUM('4.1_Electricitat Illes Balears'!$E$50:$K$70,"emisiones",'6.1_Resultats Illes Balears'!E$71:E143))/1000)-SUM(N$72:N142)</f>
        <v>0</v>
      </c>
      <c r="O143" s="508"/>
      <c r="P143" s="508">
        <f t="shared" si="3"/>
        <v>0</v>
      </c>
      <c r="Q143" s="508"/>
      <c r="R143" s="508"/>
      <c r="S143" s="73"/>
      <c r="T143" s="73"/>
      <c r="U143" s="73"/>
    </row>
    <row r="144" spans="1:21" ht="16.5" customHeight="1" x14ac:dyDescent="0.3">
      <c r="A144" s="198"/>
      <c r="B144" s="195"/>
      <c r="C144" s="73"/>
      <c r="D144" s="73"/>
      <c r="E144" s="197" t="str">
        <f>IF(Dades!E734="","",Dades!E734)</f>
        <v/>
      </c>
      <c r="F144" s="396">
        <f>(DSUM('1_Combustibles fòssils'!$E$17:$N$39,"emissions",'6.1_Resultats Illes Balears'!E$71:E144)/1000)-SUM(F$72:F143)</f>
        <v>0</v>
      </c>
      <c r="G144" s="396">
        <f>((DSUM('1_Combustibles fòssils'!$E$47:$U$67,"emissions1",'6.1_Resultats Illes Balears'!E$71:E144)+DSUM('1_Combustibles fòssils'!$E$47:$U$67,"emissions2",'6.1_Resultats Illes Balears'!E$71:E144))/1000)-SUM(G$72:G143)</f>
        <v>0</v>
      </c>
      <c r="H144" s="396">
        <f>(DSUM('2_Fluorats'!$E$11:$P$33,"emissions",'6.1_Resultats Illes Balears'!E$71:E144)/1000)-SUM(H$72:H143)</f>
        <v>0</v>
      </c>
      <c r="I144" s="507">
        <f>(DSUM('3_Emissions processos'!$E$13:$K$35,"emissions",'6.1_Resultats Illes Balears'!E$71:E144)/1000)-SUM(I$72:I143)</f>
        <v>0</v>
      </c>
      <c r="J144" s="507"/>
      <c r="K144" s="508">
        <f t="shared" si="2"/>
        <v>0</v>
      </c>
      <c r="L144" s="508"/>
      <c r="M144" s="508"/>
      <c r="N144" s="507">
        <f>((DSUM('4.1_Electricitat Illes Balears'!$E$20:$J$42,"emisiones",'6.1_Resultats Illes Balears'!E$71:E144)+DSUM('4.1_Electricitat Illes Balears'!$E$50:$K$70,"emisiones",'6.1_Resultats Illes Balears'!E$71:E144))/1000)-SUM(N$72:N143)</f>
        <v>0</v>
      </c>
      <c r="O144" s="508"/>
      <c r="P144" s="508">
        <f t="shared" si="3"/>
        <v>0</v>
      </c>
      <c r="Q144" s="508"/>
      <c r="R144" s="508"/>
      <c r="S144" s="73"/>
      <c r="T144" s="73"/>
      <c r="U144" s="73"/>
    </row>
    <row r="145" spans="1:21" ht="16.5" customHeight="1" x14ac:dyDescent="0.3">
      <c r="A145" s="198"/>
      <c r="B145" s="195"/>
      <c r="C145" s="73"/>
      <c r="D145" s="73"/>
      <c r="E145" s="197" t="str">
        <f>IF(Dades!E735="","",Dades!E735)</f>
        <v/>
      </c>
      <c r="F145" s="396">
        <f>(DSUM('1_Combustibles fòssils'!$E$17:$N$39,"emissions",'6.1_Resultats Illes Balears'!E$71:E145)/1000)-SUM(F$72:F144)</f>
        <v>0</v>
      </c>
      <c r="G145" s="396">
        <f>((DSUM('1_Combustibles fòssils'!$E$47:$U$67,"emissions1",'6.1_Resultats Illes Balears'!E$71:E145)+DSUM('1_Combustibles fòssils'!$E$47:$U$67,"emissions2",'6.1_Resultats Illes Balears'!E$71:E145))/1000)-SUM(G$72:G144)</f>
        <v>0</v>
      </c>
      <c r="H145" s="396">
        <f>(DSUM('2_Fluorats'!$E$11:$P$33,"emissions",'6.1_Resultats Illes Balears'!E$71:E145)/1000)-SUM(H$72:H144)</f>
        <v>0</v>
      </c>
      <c r="I145" s="507">
        <f>(DSUM('3_Emissions processos'!$E$13:$K$35,"emissions",'6.1_Resultats Illes Balears'!E$71:E145)/1000)-SUM(I$72:I144)</f>
        <v>0</v>
      </c>
      <c r="J145" s="507"/>
      <c r="K145" s="508">
        <f t="shared" si="2"/>
        <v>0</v>
      </c>
      <c r="L145" s="508"/>
      <c r="M145" s="508"/>
      <c r="N145" s="507">
        <f>((DSUM('4.1_Electricitat Illes Balears'!$E$20:$J$42,"emisiones",'6.1_Resultats Illes Balears'!E$71:E145)+DSUM('4.1_Electricitat Illes Balears'!$E$50:$K$70,"emisiones",'6.1_Resultats Illes Balears'!E$71:E145))/1000)-SUM(N$72:N144)</f>
        <v>0</v>
      </c>
      <c r="O145" s="508"/>
      <c r="P145" s="508">
        <f t="shared" si="3"/>
        <v>0</v>
      </c>
      <c r="Q145" s="508"/>
      <c r="R145" s="508"/>
      <c r="S145" s="73"/>
      <c r="T145" s="73"/>
      <c r="U145" s="73"/>
    </row>
    <row r="146" spans="1:21" ht="16.5" customHeight="1" x14ac:dyDescent="0.3">
      <c r="A146" s="198"/>
      <c r="B146" s="195"/>
      <c r="C146" s="73"/>
      <c r="D146" s="73"/>
      <c r="E146" s="197" t="str">
        <f>IF(Dades!E736="","",Dades!E736)</f>
        <v/>
      </c>
      <c r="F146" s="396">
        <f>(DSUM('1_Combustibles fòssils'!$E$17:$N$39,"emissions",'6.1_Resultats Illes Balears'!E$71:E146)/1000)-SUM(F$72:F145)</f>
        <v>0</v>
      </c>
      <c r="G146" s="396">
        <f>((DSUM('1_Combustibles fòssils'!$E$47:$U$67,"emissions1",'6.1_Resultats Illes Balears'!E$71:E146)+DSUM('1_Combustibles fòssils'!$E$47:$U$67,"emissions2",'6.1_Resultats Illes Balears'!E$71:E146))/1000)-SUM(G$72:G145)</f>
        <v>0</v>
      </c>
      <c r="H146" s="396">
        <f>(DSUM('2_Fluorats'!$E$11:$P$33,"emissions",'6.1_Resultats Illes Balears'!E$71:E146)/1000)-SUM(H$72:H145)</f>
        <v>0</v>
      </c>
      <c r="I146" s="507">
        <f>(DSUM('3_Emissions processos'!$E$13:$K$35,"emissions",'6.1_Resultats Illes Balears'!E$71:E146)/1000)-SUM(I$72:I145)</f>
        <v>0</v>
      </c>
      <c r="J146" s="507"/>
      <c r="K146" s="508">
        <f t="shared" si="2"/>
        <v>0</v>
      </c>
      <c r="L146" s="508"/>
      <c r="M146" s="508"/>
      <c r="N146" s="507">
        <f>((DSUM('4.1_Electricitat Illes Balears'!$E$20:$J$42,"emisiones",'6.1_Resultats Illes Balears'!E$71:E146)+DSUM('4.1_Electricitat Illes Balears'!$E$50:$K$70,"emisiones",'6.1_Resultats Illes Balears'!E$71:E146))/1000)-SUM(N$72:N145)</f>
        <v>0</v>
      </c>
      <c r="O146" s="508"/>
      <c r="P146" s="508">
        <f t="shared" si="3"/>
        <v>0</v>
      </c>
      <c r="Q146" s="508"/>
      <c r="R146" s="508"/>
      <c r="S146" s="73"/>
      <c r="T146" s="73"/>
      <c r="U146" s="73"/>
    </row>
    <row r="147" spans="1:21" ht="16.5" customHeight="1" x14ac:dyDescent="0.3">
      <c r="A147" s="198"/>
      <c r="B147" s="195"/>
      <c r="C147" s="73"/>
      <c r="D147" s="73"/>
      <c r="E147" s="197" t="str">
        <f>IF(Dades!E737="","",Dades!E737)</f>
        <v/>
      </c>
      <c r="F147" s="396">
        <f>(DSUM('1_Combustibles fòssils'!$E$17:$N$39,"emissions",'6.1_Resultats Illes Balears'!E$71:E147)/1000)-SUM(F$72:F146)</f>
        <v>0</v>
      </c>
      <c r="G147" s="396">
        <f>((DSUM('1_Combustibles fòssils'!$E$47:$U$67,"emissions1",'6.1_Resultats Illes Balears'!E$71:E147)+DSUM('1_Combustibles fòssils'!$E$47:$U$67,"emissions2",'6.1_Resultats Illes Balears'!E$71:E147))/1000)-SUM(G$72:G146)</f>
        <v>0</v>
      </c>
      <c r="H147" s="396">
        <f>(DSUM('2_Fluorats'!$E$11:$P$33,"emissions",'6.1_Resultats Illes Balears'!E$71:E147)/1000)-SUM(H$72:H146)</f>
        <v>0</v>
      </c>
      <c r="I147" s="507">
        <f>(DSUM('3_Emissions processos'!$E$13:$K$35,"emissions",'6.1_Resultats Illes Balears'!E$71:E147)/1000)-SUM(I$72:I146)</f>
        <v>0</v>
      </c>
      <c r="J147" s="507"/>
      <c r="K147" s="508">
        <f t="shared" si="2"/>
        <v>0</v>
      </c>
      <c r="L147" s="508"/>
      <c r="M147" s="508"/>
      <c r="N147" s="507">
        <f>((DSUM('4.1_Electricitat Illes Balears'!$E$20:$J$42,"emisiones",'6.1_Resultats Illes Balears'!E$71:E147)+DSUM('4.1_Electricitat Illes Balears'!$E$50:$K$70,"emisiones",'6.1_Resultats Illes Balears'!E$71:E147))/1000)-SUM(N$72:N146)</f>
        <v>0</v>
      </c>
      <c r="O147" s="508"/>
      <c r="P147" s="508">
        <f t="shared" si="3"/>
        <v>0</v>
      </c>
      <c r="Q147" s="508"/>
      <c r="R147" s="508"/>
      <c r="S147" s="73"/>
      <c r="T147" s="73"/>
      <c r="U147" s="73"/>
    </row>
    <row r="148" spans="1:21" ht="16.5" customHeight="1" x14ac:dyDescent="0.3">
      <c r="A148" s="198"/>
      <c r="B148" s="195"/>
      <c r="C148" s="73"/>
      <c r="D148" s="73"/>
      <c r="E148" s="197" t="str">
        <f>IF(Dades!E738="","",Dades!E738)</f>
        <v/>
      </c>
      <c r="F148" s="396">
        <f>(DSUM('1_Combustibles fòssils'!$E$17:$N$39,"emissions",'6.1_Resultats Illes Balears'!E$71:E148)/1000)-SUM(F$72:F147)</f>
        <v>0</v>
      </c>
      <c r="G148" s="396">
        <f>((DSUM('1_Combustibles fòssils'!$E$47:$U$67,"emissions1",'6.1_Resultats Illes Balears'!E$71:E148)+DSUM('1_Combustibles fòssils'!$E$47:$U$67,"emissions2",'6.1_Resultats Illes Balears'!E$71:E148))/1000)-SUM(G$72:G147)</f>
        <v>0</v>
      </c>
      <c r="H148" s="396">
        <f>(DSUM('2_Fluorats'!$E$11:$P$33,"emissions",'6.1_Resultats Illes Balears'!E$71:E148)/1000)-SUM(H$72:H147)</f>
        <v>0</v>
      </c>
      <c r="I148" s="507">
        <f>(DSUM('3_Emissions processos'!$E$13:$K$35,"emissions",'6.1_Resultats Illes Balears'!E$71:E148)/1000)-SUM(I$72:I147)</f>
        <v>0</v>
      </c>
      <c r="J148" s="507"/>
      <c r="K148" s="508">
        <f t="shared" si="2"/>
        <v>0</v>
      </c>
      <c r="L148" s="508"/>
      <c r="M148" s="508"/>
      <c r="N148" s="507">
        <f>((DSUM('4.1_Electricitat Illes Balears'!$E$20:$J$42,"emisiones",'6.1_Resultats Illes Balears'!E$71:E148)+DSUM('4.1_Electricitat Illes Balears'!$E$50:$K$70,"emisiones",'6.1_Resultats Illes Balears'!E$71:E148))/1000)-SUM(N$72:N147)</f>
        <v>0</v>
      </c>
      <c r="O148" s="508"/>
      <c r="P148" s="508">
        <f t="shared" si="3"/>
        <v>0</v>
      </c>
      <c r="Q148" s="508"/>
      <c r="R148" s="508"/>
      <c r="S148" s="73"/>
      <c r="T148" s="73"/>
      <c r="U148" s="73"/>
    </row>
    <row r="149" spans="1:21" x14ac:dyDescent="0.3">
      <c r="A149" s="198"/>
      <c r="B149" s="195"/>
      <c r="C149" s="73"/>
      <c r="D149" s="73"/>
      <c r="E149" s="197" t="str">
        <f>IF(Dades!E739="","",Dades!E739)</f>
        <v/>
      </c>
      <c r="F149" s="396">
        <f>(DSUM('1_Combustibles fòssils'!$E$17:$N$39,"emissions",'6.1_Resultats Illes Balears'!E$71:E149)/1000)-SUM(F$72:F148)</f>
        <v>0</v>
      </c>
      <c r="G149" s="396">
        <f>((DSUM('1_Combustibles fòssils'!$E$47:$U$67,"emissions1",'6.1_Resultats Illes Balears'!E$71:E149)+DSUM('1_Combustibles fòssils'!$E$47:$U$67,"emissions2",'6.1_Resultats Illes Balears'!E$71:E149))/1000)-SUM(G$72:G148)</f>
        <v>0</v>
      </c>
      <c r="H149" s="396">
        <f>(DSUM('2_Fluorats'!$E$11:$P$33,"emissions",'6.1_Resultats Illes Balears'!E$71:E149)/1000)-SUM(H$72:H148)</f>
        <v>0</v>
      </c>
      <c r="I149" s="507">
        <f>(DSUM('3_Emissions processos'!$E$13:$K$35,"emissions",'6.1_Resultats Illes Balears'!E$71:E149)/1000)-SUM(I$72:I148)</f>
        <v>0</v>
      </c>
      <c r="J149" s="507"/>
      <c r="K149" s="508">
        <f t="shared" si="2"/>
        <v>0</v>
      </c>
      <c r="L149" s="508"/>
      <c r="M149" s="508"/>
      <c r="N149" s="507">
        <f>((DSUM('4.1_Electricitat Illes Balears'!$E$20:$J$42,"emisiones",'6.1_Resultats Illes Balears'!E$71:E149)+DSUM('4.1_Electricitat Illes Balears'!$E$50:$K$70,"emisiones",'6.1_Resultats Illes Balears'!E$71:E149))/1000)-SUM(N$72:N148)</f>
        <v>0</v>
      </c>
      <c r="O149" s="508"/>
      <c r="P149" s="508">
        <f t="shared" si="3"/>
        <v>0</v>
      </c>
      <c r="Q149" s="508"/>
      <c r="R149" s="508"/>
      <c r="S149" s="73"/>
      <c r="T149" s="73"/>
      <c r="U149" s="73"/>
    </row>
    <row r="150" spans="1:21" ht="16.5" customHeight="1" x14ac:dyDescent="0.3">
      <c r="A150" s="198"/>
      <c r="B150" s="195"/>
      <c r="C150" s="73"/>
      <c r="D150" s="73"/>
      <c r="E150" s="197" t="str">
        <f>IF(Dades!E740="","",Dades!E740)</f>
        <v/>
      </c>
      <c r="F150" s="396">
        <f>(DSUM('1_Combustibles fòssils'!$E$17:$N$39,"emissions",'6.1_Resultats Illes Balears'!E$71:E150)/1000)-SUM(F$72:F149)</f>
        <v>0</v>
      </c>
      <c r="G150" s="396">
        <f>((DSUM('1_Combustibles fòssils'!$E$47:$U$67,"emissions1",'6.1_Resultats Illes Balears'!E$71:E150)+DSUM('1_Combustibles fòssils'!$E$47:$U$67,"emissions2",'6.1_Resultats Illes Balears'!E$71:E150))/1000)-SUM(G$72:G149)</f>
        <v>0</v>
      </c>
      <c r="H150" s="396">
        <f>(DSUM('2_Fluorats'!$E$11:$P$33,"emissions",'6.1_Resultats Illes Balears'!E$71:E150)/1000)-SUM(H$72:H149)</f>
        <v>0</v>
      </c>
      <c r="I150" s="507">
        <f>(DSUM('3_Emissions processos'!$E$13:$K$35,"emissions",'6.1_Resultats Illes Balears'!E$71:E150)/1000)-SUM(I$72:I149)</f>
        <v>0</v>
      </c>
      <c r="J150" s="507"/>
      <c r="K150" s="508">
        <f t="shared" si="2"/>
        <v>0</v>
      </c>
      <c r="L150" s="508"/>
      <c r="M150" s="508"/>
      <c r="N150" s="507">
        <f>((DSUM('4.1_Electricitat Illes Balears'!$E$20:$J$42,"emisiones",'6.1_Resultats Illes Balears'!E$71:E150)+DSUM('4.1_Electricitat Illes Balears'!$E$50:$K$70,"emisiones",'6.1_Resultats Illes Balears'!E$71:E150))/1000)-SUM(N$72:N149)</f>
        <v>0</v>
      </c>
      <c r="O150" s="508"/>
      <c r="P150" s="508">
        <f t="shared" si="3"/>
        <v>0</v>
      </c>
      <c r="Q150" s="508"/>
      <c r="R150" s="508"/>
      <c r="S150" s="73"/>
      <c r="T150" s="73"/>
      <c r="U150" s="73"/>
    </row>
    <row r="151" spans="1:21" x14ac:dyDescent="0.3">
      <c r="A151" s="198"/>
      <c r="B151" s="195"/>
      <c r="C151" s="73"/>
      <c r="D151" s="73"/>
      <c r="E151" s="197" t="str">
        <f>IF(Dades!E741="","",Dades!E741)</f>
        <v/>
      </c>
      <c r="F151" s="396">
        <f>(DSUM('1_Combustibles fòssils'!$E$17:$N$39,"emissions",'6.1_Resultats Illes Balears'!E$71:E151)/1000)-SUM(F$72:F150)</f>
        <v>0</v>
      </c>
      <c r="G151" s="396">
        <f>((DSUM('1_Combustibles fòssils'!$E$47:$U$67,"emissions1",'6.1_Resultats Illes Balears'!E$71:E151)+DSUM('1_Combustibles fòssils'!$E$47:$U$67,"emissions2",'6.1_Resultats Illes Balears'!E$71:E151))/1000)-SUM(G$72:G150)</f>
        <v>0</v>
      </c>
      <c r="H151" s="396">
        <f>(DSUM('2_Fluorats'!$E$11:$P$33,"emissions",'6.1_Resultats Illes Balears'!E$71:E151)/1000)-SUM(H$72:H150)</f>
        <v>0</v>
      </c>
      <c r="I151" s="507">
        <f>(DSUM('3_Emissions processos'!$E$13:$K$35,"emissions",'6.1_Resultats Illes Balears'!E$71:E151)/1000)-SUM(I$72:I150)</f>
        <v>0</v>
      </c>
      <c r="J151" s="507"/>
      <c r="K151" s="508">
        <f t="shared" si="2"/>
        <v>0</v>
      </c>
      <c r="L151" s="508"/>
      <c r="M151" s="508"/>
      <c r="N151" s="507">
        <f>((DSUM('4.1_Electricitat Illes Balears'!$E$20:$J$42,"emisiones",'6.1_Resultats Illes Balears'!E$71:E151)+DSUM('4.1_Electricitat Illes Balears'!$E$50:$K$70,"emisiones",'6.1_Resultats Illes Balears'!E$71:E151))/1000)-SUM(N$72:N150)</f>
        <v>0</v>
      </c>
      <c r="O151" s="508"/>
      <c r="P151" s="508">
        <f t="shared" si="3"/>
        <v>0</v>
      </c>
      <c r="Q151" s="508"/>
      <c r="R151" s="508"/>
      <c r="S151" s="73"/>
      <c r="T151" s="73"/>
      <c r="U151" s="73"/>
    </row>
    <row r="152" spans="1:21" x14ac:dyDescent="0.3">
      <c r="A152" s="198"/>
      <c r="B152" s="195"/>
      <c r="C152" s="73"/>
      <c r="D152" s="73"/>
      <c r="E152" s="197" t="str">
        <f>IF(Dades!E742="","",Dades!E742)</f>
        <v/>
      </c>
      <c r="F152" s="396">
        <f>(DSUM('1_Combustibles fòssils'!$E$17:$N$39,"emissions",'6.1_Resultats Illes Balears'!E$71:E152)/1000)-SUM(F$72:F151)</f>
        <v>0</v>
      </c>
      <c r="G152" s="396">
        <f>((DSUM('1_Combustibles fòssils'!$E$47:$U$67,"emissions1",'6.1_Resultats Illes Balears'!E$71:E152)+DSUM('1_Combustibles fòssils'!$E$47:$U$67,"emissions2",'6.1_Resultats Illes Balears'!E$71:E152))/1000)-SUM(G$72:G151)</f>
        <v>0</v>
      </c>
      <c r="H152" s="396">
        <f>(DSUM('2_Fluorats'!$E$11:$P$33,"emissions",'6.1_Resultats Illes Balears'!E$71:E152)/1000)-SUM(H$72:H151)</f>
        <v>0</v>
      </c>
      <c r="I152" s="507">
        <f>(DSUM('3_Emissions processos'!$E$13:$K$35,"emissions",'6.1_Resultats Illes Balears'!E$71:E152)/1000)-SUM(I$72:I151)</f>
        <v>0</v>
      </c>
      <c r="J152" s="507"/>
      <c r="K152" s="508">
        <f t="shared" si="2"/>
        <v>0</v>
      </c>
      <c r="L152" s="508"/>
      <c r="M152" s="508"/>
      <c r="N152" s="507">
        <f>((DSUM('4.1_Electricitat Illes Balears'!$E$20:$J$42,"emisiones",'6.1_Resultats Illes Balears'!E$71:E152)+DSUM('4.1_Electricitat Illes Balears'!$E$50:$K$70,"emisiones",'6.1_Resultats Illes Balears'!E$71:E152))/1000)-SUM(N$72:N151)</f>
        <v>0</v>
      </c>
      <c r="O152" s="508"/>
      <c r="P152" s="508">
        <f t="shared" si="3"/>
        <v>0</v>
      </c>
      <c r="Q152" s="508"/>
      <c r="R152" s="508"/>
      <c r="S152" s="73"/>
      <c r="T152" s="73"/>
      <c r="U152" s="73"/>
    </row>
    <row r="153" spans="1:21" x14ac:dyDescent="0.3">
      <c r="A153" s="198"/>
      <c r="B153" s="195"/>
      <c r="C153" s="73"/>
      <c r="D153" s="73"/>
      <c r="E153" s="197" t="str">
        <f>IF(Dades!E743="","",Dades!E743)</f>
        <v/>
      </c>
      <c r="F153" s="396">
        <f>(DSUM('1_Combustibles fòssils'!$E$17:$N$39,"emissions",'6.1_Resultats Illes Balears'!E$71:E153)/1000)-SUM(F$72:F152)</f>
        <v>0</v>
      </c>
      <c r="G153" s="396">
        <f>((DSUM('1_Combustibles fòssils'!$E$47:$U$67,"emissions1",'6.1_Resultats Illes Balears'!E$71:E153)+DSUM('1_Combustibles fòssils'!$E$47:$U$67,"emissions2",'6.1_Resultats Illes Balears'!E$71:E153))/1000)-SUM(G$72:G152)</f>
        <v>0</v>
      </c>
      <c r="H153" s="396">
        <f>(DSUM('2_Fluorats'!$E$11:$P$33,"emissions",'6.1_Resultats Illes Balears'!E$71:E153)/1000)-SUM(H$72:H152)</f>
        <v>0</v>
      </c>
      <c r="I153" s="507">
        <f>(DSUM('3_Emissions processos'!$E$13:$K$35,"emissions",'6.1_Resultats Illes Balears'!E$71:E153)/1000)-SUM(I$72:I152)</f>
        <v>0</v>
      </c>
      <c r="J153" s="507"/>
      <c r="K153" s="508">
        <f t="shared" si="2"/>
        <v>0</v>
      </c>
      <c r="L153" s="508"/>
      <c r="M153" s="508"/>
      <c r="N153" s="507">
        <f>((DSUM('4.1_Electricitat Illes Balears'!$E$20:$J$42,"emisiones",'6.1_Resultats Illes Balears'!E$71:E153)+DSUM('4.1_Electricitat Illes Balears'!$E$50:$K$70,"emisiones",'6.1_Resultats Illes Balears'!E$71:E153))/1000)-SUM(N$72:N152)</f>
        <v>0</v>
      </c>
      <c r="O153" s="508"/>
      <c r="P153" s="508">
        <f t="shared" si="3"/>
        <v>0</v>
      </c>
      <c r="Q153" s="508"/>
      <c r="R153" s="508"/>
      <c r="S153" s="73"/>
      <c r="T153" s="73"/>
      <c r="U153" s="73"/>
    </row>
    <row r="154" spans="1:21" x14ac:dyDescent="0.3">
      <c r="A154" s="198"/>
      <c r="B154" s="195"/>
      <c r="C154" s="73"/>
      <c r="D154" s="73"/>
      <c r="E154" s="197" t="str">
        <f>IF(Dades!E744="","",Dades!E744)</f>
        <v/>
      </c>
      <c r="F154" s="396">
        <f>(DSUM('1_Combustibles fòssils'!$E$17:$N$39,"emissions",'6.1_Resultats Illes Balears'!E$71:E154)/1000)-SUM(F$72:F153)</f>
        <v>0</v>
      </c>
      <c r="G154" s="396">
        <f>((DSUM('1_Combustibles fòssils'!$E$47:$U$67,"emissions1",'6.1_Resultats Illes Balears'!E$71:E154)+DSUM('1_Combustibles fòssils'!$E$47:$U$67,"emissions2",'6.1_Resultats Illes Balears'!E$71:E154))/1000)-SUM(G$72:G153)</f>
        <v>0</v>
      </c>
      <c r="H154" s="396">
        <f>(DSUM('2_Fluorats'!$E$11:$P$33,"emissions",'6.1_Resultats Illes Balears'!E$71:E154)/1000)-SUM(H$72:H153)</f>
        <v>0</v>
      </c>
      <c r="I154" s="507">
        <f>(DSUM('3_Emissions processos'!$E$13:$K$35,"emissions",'6.1_Resultats Illes Balears'!E$71:E154)/1000)-SUM(I$72:I153)</f>
        <v>0</v>
      </c>
      <c r="J154" s="507"/>
      <c r="K154" s="508">
        <f t="shared" si="2"/>
        <v>0</v>
      </c>
      <c r="L154" s="508"/>
      <c r="M154" s="508"/>
      <c r="N154" s="507">
        <f>((DSUM('4.1_Electricitat Illes Balears'!$E$20:$J$42,"emisiones",'6.1_Resultats Illes Balears'!E$71:E154)+DSUM('4.1_Electricitat Illes Balears'!$E$50:$K$70,"emisiones",'6.1_Resultats Illes Balears'!E$71:E154))/1000)-SUM(N$72:N153)</f>
        <v>0</v>
      </c>
      <c r="O154" s="508"/>
      <c r="P154" s="508">
        <f t="shared" si="3"/>
        <v>0</v>
      </c>
      <c r="Q154" s="508"/>
      <c r="R154" s="508"/>
      <c r="S154" s="73"/>
      <c r="T154" s="73"/>
      <c r="U154" s="73"/>
    </row>
    <row r="155" spans="1:21" x14ac:dyDescent="0.3">
      <c r="A155" s="198"/>
      <c r="B155" s="195"/>
      <c r="C155" s="73"/>
      <c r="D155" s="73"/>
      <c r="E155" s="197" t="str">
        <f>IF(Dades!E745="","",Dades!E745)</f>
        <v/>
      </c>
      <c r="F155" s="396">
        <f>(DSUM('1_Combustibles fòssils'!$E$17:$N$39,"emissions",'6.1_Resultats Illes Balears'!E$71:E155)/1000)-SUM(F$72:F154)</f>
        <v>0</v>
      </c>
      <c r="G155" s="396">
        <f>((DSUM('1_Combustibles fòssils'!$E$47:$U$67,"emissions1",'6.1_Resultats Illes Balears'!E$71:E155)+DSUM('1_Combustibles fòssils'!$E$47:$U$67,"emissions2",'6.1_Resultats Illes Balears'!E$71:E155))/1000)-SUM(G$72:G154)</f>
        <v>0</v>
      </c>
      <c r="H155" s="396">
        <f>(DSUM('2_Fluorats'!$E$11:$P$33,"emissions",'6.1_Resultats Illes Balears'!E$71:E155)/1000)-SUM(H$72:H154)</f>
        <v>0</v>
      </c>
      <c r="I155" s="507">
        <f>(DSUM('3_Emissions processos'!$E$13:$K$35,"emissions",'6.1_Resultats Illes Balears'!E$71:E155)/1000)-SUM(I$72:I154)</f>
        <v>0</v>
      </c>
      <c r="J155" s="507"/>
      <c r="K155" s="508">
        <f t="shared" si="2"/>
        <v>0</v>
      </c>
      <c r="L155" s="508"/>
      <c r="M155" s="508"/>
      <c r="N155" s="507">
        <f>((DSUM('4.1_Electricitat Illes Balears'!$E$20:$J$42,"emisiones",'6.1_Resultats Illes Balears'!E$71:E155)+DSUM('4.1_Electricitat Illes Balears'!$E$50:$K$70,"emisiones",'6.1_Resultats Illes Balears'!E$71:E155))/1000)-SUM(N$72:N154)</f>
        <v>0</v>
      </c>
      <c r="O155" s="508"/>
      <c r="P155" s="508">
        <f t="shared" si="3"/>
        <v>0</v>
      </c>
      <c r="Q155" s="508"/>
      <c r="R155" s="508"/>
      <c r="S155" s="73"/>
      <c r="T155" s="73"/>
      <c r="U155" s="73"/>
    </row>
    <row r="156" spans="1:21" ht="16.5" customHeight="1" x14ac:dyDescent="0.3">
      <c r="A156" s="198"/>
      <c r="B156" s="195"/>
      <c r="C156" s="73"/>
      <c r="D156" s="73"/>
      <c r="E156" s="197" t="str">
        <f>IF(Dades!E746="","",Dades!E746)</f>
        <v/>
      </c>
      <c r="F156" s="396">
        <f>(DSUM('1_Combustibles fòssils'!$E$17:$N$39,"emissions",'6.1_Resultats Illes Balears'!E$71:E156)/1000)-SUM(F$72:F155)</f>
        <v>0</v>
      </c>
      <c r="G156" s="396">
        <f>((DSUM('1_Combustibles fòssils'!$E$47:$U$67,"emissions1",'6.1_Resultats Illes Balears'!E$71:E156)+DSUM('1_Combustibles fòssils'!$E$47:$U$67,"emissions2",'6.1_Resultats Illes Balears'!E$71:E156))/1000)-SUM(G$72:G155)</f>
        <v>0</v>
      </c>
      <c r="H156" s="396">
        <f>(DSUM('2_Fluorats'!$E$11:$P$33,"emissions",'6.1_Resultats Illes Balears'!E$71:E156)/1000)-SUM(H$72:H155)</f>
        <v>0</v>
      </c>
      <c r="I156" s="507">
        <f>(DSUM('3_Emissions processos'!$E$13:$K$35,"emissions",'6.1_Resultats Illes Balears'!E$71:E156)/1000)-SUM(I$72:I155)</f>
        <v>0</v>
      </c>
      <c r="J156" s="507"/>
      <c r="K156" s="508">
        <f t="shared" si="2"/>
        <v>0</v>
      </c>
      <c r="L156" s="508"/>
      <c r="M156" s="508"/>
      <c r="N156" s="507">
        <f>((DSUM('4.1_Electricitat Illes Balears'!$E$20:$J$42,"emisiones",'6.1_Resultats Illes Balears'!E$71:E156)+DSUM('4.1_Electricitat Illes Balears'!$E$50:$K$70,"emisiones",'6.1_Resultats Illes Balears'!E$71:E156))/1000)-SUM(N$72:N155)</f>
        <v>0</v>
      </c>
      <c r="O156" s="508"/>
      <c r="P156" s="508">
        <f t="shared" si="3"/>
        <v>0</v>
      </c>
      <c r="Q156" s="508"/>
      <c r="R156" s="508"/>
      <c r="S156" s="73"/>
      <c r="T156" s="73"/>
      <c r="U156" s="73"/>
    </row>
    <row r="157" spans="1:21" ht="16.5" customHeight="1" x14ac:dyDescent="0.3">
      <c r="A157" s="198"/>
      <c r="B157" s="195"/>
      <c r="C157" s="73"/>
      <c r="D157" s="73"/>
      <c r="E157" s="197" t="str">
        <f>IF(Dades!E747="","",Dades!E747)</f>
        <v/>
      </c>
      <c r="F157" s="396">
        <f>(DSUM('1_Combustibles fòssils'!$E$17:$N$39,"emissions",'6.1_Resultats Illes Balears'!E$71:E157)/1000)-SUM(F$72:F156)</f>
        <v>0</v>
      </c>
      <c r="G157" s="396">
        <f>((DSUM('1_Combustibles fòssils'!$E$47:$U$67,"emissions1",'6.1_Resultats Illes Balears'!E$71:E157)+DSUM('1_Combustibles fòssils'!$E$47:$U$67,"emissions2",'6.1_Resultats Illes Balears'!E$71:E157))/1000)-SUM(G$72:G156)</f>
        <v>0</v>
      </c>
      <c r="H157" s="396">
        <f>(DSUM('2_Fluorats'!$E$11:$P$33,"emissions",'6.1_Resultats Illes Balears'!E$71:E157)/1000)-SUM(H$72:H156)</f>
        <v>0</v>
      </c>
      <c r="I157" s="507">
        <f>(DSUM('3_Emissions processos'!$E$13:$K$35,"emissions",'6.1_Resultats Illes Balears'!E$71:E157)/1000)-SUM(I$72:I156)</f>
        <v>0</v>
      </c>
      <c r="J157" s="507"/>
      <c r="K157" s="508">
        <f t="shared" si="2"/>
        <v>0</v>
      </c>
      <c r="L157" s="508"/>
      <c r="M157" s="508"/>
      <c r="N157" s="507">
        <f>((DSUM('4.1_Electricitat Illes Balears'!$E$20:$J$42,"emisiones",'6.1_Resultats Illes Balears'!E$71:E157)+DSUM('4.1_Electricitat Illes Balears'!$E$50:$K$70,"emisiones",'6.1_Resultats Illes Balears'!E$71:E157))/1000)-SUM(N$72:N156)</f>
        <v>0</v>
      </c>
      <c r="O157" s="508"/>
      <c r="P157" s="508">
        <f t="shared" si="3"/>
        <v>0</v>
      </c>
      <c r="Q157" s="508"/>
      <c r="R157" s="508"/>
      <c r="S157" s="73"/>
      <c r="T157" s="73"/>
      <c r="U157" s="73"/>
    </row>
    <row r="158" spans="1:21" ht="16.5" customHeight="1" x14ac:dyDescent="0.3">
      <c r="A158" s="198"/>
      <c r="B158" s="195"/>
      <c r="C158" s="73"/>
      <c r="D158" s="73"/>
      <c r="E158" s="197" t="str">
        <f>IF(Dades!E748="","",Dades!E748)</f>
        <v/>
      </c>
      <c r="F158" s="396">
        <f>(DSUM('1_Combustibles fòssils'!$E$17:$N$39,"emissions",'6.1_Resultats Illes Balears'!E$71:E158)/1000)-SUM(F$72:F157)</f>
        <v>0</v>
      </c>
      <c r="G158" s="396">
        <f>((DSUM('1_Combustibles fòssils'!$E$47:$U$67,"emissions1",'6.1_Resultats Illes Balears'!E$71:E158)+DSUM('1_Combustibles fòssils'!$E$47:$U$67,"emissions2",'6.1_Resultats Illes Balears'!E$71:E158))/1000)-SUM(G$72:G157)</f>
        <v>0</v>
      </c>
      <c r="H158" s="396">
        <f>(DSUM('2_Fluorats'!$E$11:$P$33,"emissions",'6.1_Resultats Illes Balears'!E$71:E158)/1000)-SUM(H$72:H157)</f>
        <v>0</v>
      </c>
      <c r="I158" s="507">
        <f>(DSUM('3_Emissions processos'!$E$13:$K$35,"emissions",'6.1_Resultats Illes Balears'!E$71:E158)/1000)-SUM(I$72:I157)</f>
        <v>0</v>
      </c>
      <c r="J158" s="507"/>
      <c r="K158" s="508">
        <f t="shared" si="2"/>
        <v>0</v>
      </c>
      <c r="L158" s="508"/>
      <c r="M158" s="508"/>
      <c r="N158" s="507">
        <f>((DSUM('4.1_Electricitat Illes Balears'!$E$20:$J$42,"emisiones",'6.1_Resultats Illes Balears'!E$71:E158)+DSUM('4.1_Electricitat Illes Balears'!$E$50:$K$70,"emisiones",'6.1_Resultats Illes Balears'!E$71:E158))/1000)-SUM(N$72:N157)</f>
        <v>0</v>
      </c>
      <c r="O158" s="508"/>
      <c r="P158" s="508">
        <f t="shared" si="3"/>
        <v>0</v>
      </c>
      <c r="Q158" s="508"/>
      <c r="R158" s="508"/>
      <c r="S158" s="73"/>
      <c r="T158" s="73"/>
      <c r="U158" s="73"/>
    </row>
    <row r="159" spans="1:21" ht="16.5" customHeight="1" x14ac:dyDescent="0.3">
      <c r="A159" s="198"/>
      <c r="B159" s="195"/>
      <c r="C159" s="73"/>
      <c r="D159" s="73"/>
      <c r="E159" s="197" t="str">
        <f>IF(Dades!E749="","",Dades!E749)</f>
        <v/>
      </c>
      <c r="F159" s="396">
        <f>(DSUM('1_Combustibles fòssils'!$E$17:$N$39,"emissions",'6.1_Resultats Illes Balears'!E$71:E159)/1000)-SUM(F$72:F158)</f>
        <v>0</v>
      </c>
      <c r="G159" s="396">
        <f>((DSUM('1_Combustibles fòssils'!$E$47:$U$67,"emissions1",'6.1_Resultats Illes Balears'!E$71:E159)+DSUM('1_Combustibles fòssils'!$E$47:$U$67,"emissions2",'6.1_Resultats Illes Balears'!E$71:E159))/1000)-SUM(G$72:G158)</f>
        <v>0</v>
      </c>
      <c r="H159" s="396">
        <f>(DSUM('2_Fluorats'!$E$11:$P$33,"emissions",'6.1_Resultats Illes Balears'!E$71:E159)/1000)-SUM(H$72:H158)</f>
        <v>0</v>
      </c>
      <c r="I159" s="507">
        <f>(DSUM('3_Emissions processos'!$E$13:$K$35,"emissions",'6.1_Resultats Illes Balears'!E$71:E159)/1000)-SUM(I$72:I158)</f>
        <v>0</v>
      </c>
      <c r="J159" s="507"/>
      <c r="K159" s="508">
        <f t="shared" si="2"/>
        <v>0</v>
      </c>
      <c r="L159" s="508"/>
      <c r="M159" s="508"/>
      <c r="N159" s="507">
        <f>((DSUM('4.1_Electricitat Illes Balears'!$E$20:$J$42,"emisiones",'6.1_Resultats Illes Balears'!E$71:E159)+DSUM('4.1_Electricitat Illes Balears'!$E$50:$K$70,"emisiones",'6.1_Resultats Illes Balears'!E$71:E159))/1000)-SUM(N$72:N158)</f>
        <v>0</v>
      </c>
      <c r="O159" s="508"/>
      <c r="P159" s="508">
        <f t="shared" si="3"/>
        <v>0</v>
      </c>
      <c r="Q159" s="508"/>
      <c r="R159" s="508"/>
      <c r="S159" s="73"/>
      <c r="T159" s="73"/>
      <c r="U159" s="73"/>
    </row>
    <row r="160" spans="1:21" ht="16.5" customHeight="1" x14ac:dyDescent="0.3">
      <c r="A160" s="198"/>
      <c r="B160" s="195"/>
      <c r="C160" s="73"/>
      <c r="D160" s="73"/>
      <c r="E160" s="197" t="str">
        <f>IF(Dades!E750="","",Dades!E750)</f>
        <v/>
      </c>
      <c r="F160" s="396">
        <f>(DSUM('1_Combustibles fòssils'!$E$17:$N$39,"emissions",'6.1_Resultats Illes Balears'!E$71:E160)/1000)-SUM(F$72:F159)</f>
        <v>0</v>
      </c>
      <c r="G160" s="396">
        <f>((DSUM('1_Combustibles fòssils'!$E$47:$U$67,"emissions1",'6.1_Resultats Illes Balears'!E$71:E160)+DSUM('1_Combustibles fòssils'!$E$47:$U$67,"emissions2",'6.1_Resultats Illes Balears'!E$71:E160))/1000)-SUM(G$72:G159)</f>
        <v>0</v>
      </c>
      <c r="H160" s="396">
        <f>(DSUM('2_Fluorats'!$E$11:$P$33,"emissions",'6.1_Resultats Illes Balears'!E$71:E160)/1000)-SUM(H$72:H159)</f>
        <v>0</v>
      </c>
      <c r="I160" s="507">
        <f>(DSUM('3_Emissions processos'!$E$13:$K$35,"emissions",'6.1_Resultats Illes Balears'!E$71:E160)/1000)-SUM(I$72:I159)</f>
        <v>0</v>
      </c>
      <c r="J160" s="507"/>
      <c r="K160" s="508">
        <f t="shared" si="2"/>
        <v>0</v>
      </c>
      <c r="L160" s="508"/>
      <c r="M160" s="508"/>
      <c r="N160" s="507">
        <f>((DSUM('4.1_Electricitat Illes Balears'!$E$20:$J$42,"emisiones",'6.1_Resultats Illes Balears'!E$71:E160)+DSUM('4.1_Electricitat Illes Balears'!$E$50:$K$70,"emisiones",'6.1_Resultats Illes Balears'!E$71:E160))/1000)-SUM(N$72:N159)</f>
        <v>0</v>
      </c>
      <c r="O160" s="508"/>
      <c r="P160" s="508">
        <f t="shared" si="3"/>
        <v>0</v>
      </c>
      <c r="Q160" s="508"/>
      <c r="R160" s="508"/>
      <c r="S160" s="73"/>
      <c r="T160" s="73"/>
      <c r="U160" s="73"/>
    </row>
    <row r="161" spans="1:21" x14ac:dyDescent="0.3">
      <c r="A161" s="198"/>
      <c r="B161" s="195"/>
      <c r="C161" s="73"/>
      <c r="D161" s="73"/>
      <c r="E161" s="197" t="str">
        <f>IF(Dades!E751="","",Dades!E751)</f>
        <v/>
      </c>
      <c r="F161" s="396">
        <f>(DSUM('1_Combustibles fòssils'!$E$17:$N$39,"emissions",'6.1_Resultats Illes Balears'!E$71:E161)/1000)-SUM(F$72:F160)</f>
        <v>0</v>
      </c>
      <c r="G161" s="396">
        <f>((DSUM('1_Combustibles fòssils'!$E$47:$U$67,"emissions1",'6.1_Resultats Illes Balears'!E$71:E161)+DSUM('1_Combustibles fòssils'!$E$47:$U$67,"emissions2",'6.1_Resultats Illes Balears'!E$71:E161))/1000)-SUM(G$72:G160)</f>
        <v>0</v>
      </c>
      <c r="H161" s="396">
        <f>(DSUM('2_Fluorats'!$E$11:$P$33,"emissions",'6.1_Resultats Illes Balears'!E$71:E161)/1000)-SUM(H$72:H160)</f>
        <v>0</v>
      </c>
      <c r="I161" s="507">
        <f>(DSUM('3_Emissions processos'!$E$13:$K$35,"emissions",'6.1_Resultats Illes Balears'!E$71:E161)/1000)-SUM(I$72:I160)</f>
        <v>0</v>
      </c>
      <c r="J161" s="507"/>
      <c r="K161" s="508">
        <f t="shared" si="2"/>
        <v>0</v>
      </c>
      <c r="L161" s="508"/>
      <c r="M161" s="508"/>
      <c r="N161" s="507">
        <f>((DSUM('4.1_Electricitat Illes Balears'!$E$20:$J$42,"emisiones",'6.1_Resultats Illes Balears'!E$71:E161)+DSUM('4.1_Electricitat Illes Balears'!$E$50:$K$70,"emisiones",'6.1_Resultats Illes Balears'!E$71:E161))/1000)-SUM(N$72:N160)</f>
        <v>0</v>
      </c>
      <c r="O161" s="508"/>
      <c r="P161" s="508">
        <f t="shared" si="3"/>
        <v>0</v>
      </c>
      <c r="Q161" s="508"/>
      <c r="R161" s="508"/>
      <c r="S161" s="73"/>
      <c r="T161" s="73"/>
      <c r="U161" s="73"/>
    </row>
    <row r="162" spans="1:21" ht="16.5" customHeight="1" x14ac:dyDescent="0.3">
      <c r="A162" s="198"/>
      <c r="B162" s="195"/>
      <c r="C162" s="73"/>
      <c r="D162" s="73"/>
      <c r="E162" s="197" t="str">
        <f>IF(Dades!E752="","",Dades!E752)</f>
        <v/>
      </c>
      <c r="F162" s="396">
        <f>(DSUM('1_Combustibles fòssils'!$E$17:$N$39,"emissions",'6.1_Resultats Illes Balears'!E$71:E162)/1000)-SUM(F$72:F161)</f>
        <v>0</v>
      </c>
      <c r="G162" s="396">
        <f>((DSUM('1_Combustibles fòssils'!$E$47:$U$67,"emissions1",'6.1_Resultats Illes Balears'!E$71:E162)+DSUM('1_Combustibles fòssils'!$E$47:$U$67,"emissions2",'6.1_Resultats Illes Balears'!E$71:E162))/1000)-SUM(G$72:G161)</f>
        <v>0</v>
      </c>
      <c r="H162" s="396">
        <f>(DSUM('2_Fluorats'!$E$11:$P$33,"emissions",'6.1_Resultats Illes Balears'!E$71:E162)/1000)-SUM(H$72:H161)</f>
        <v>0</v>
      </c>
      <c r="I162" s="507">
        <f>(DSUM('3_Emissions processos'!$E$13:$K$35,"emissions",'6.1_Resultats Illes Balears'!E$71:E162)/1000)-SUM(I$72:I161)</f>
        <v>0</v>
      </c>
      <c r="J162" s="507"/>
      <c r="K162" s="508">
        <f t="shared" si="2"/>
        <v>0</v>
      </c>
      <c r="L162" s="508"/>
      <c r="M162" s="508"/>
      <c r="N162" s="507">
        <f>((DSUM('4.1_Electricitat Illes Balears'!$E$20:$J$42,"emisiones",'6.1_Resultats Illes Balears'!E$71:E162)+DSUM('4.1_Electricitat Illes Balears'!$E$50:$K$70,"emisiones",'6.1_Resultats Illes Balears'!E$71:E162))/1000)-SUM(N$72:N161)</f>
        <v>0</v>
      </c>
      <c r="O162" s="508"/>
      <c r="P162" s="508">
        <f t="shared" si="3"/>
        <v>0</v>
      </c>
      <c r="Q162" s="508"/>
      <c r="R162" s="508"/>
      <c r="S162" s="73"/>
      <c r="T162" s="73"/>
      <c r="U162" s="73"/>
    </row>
    <row r="163" spans="1:21" x14ac:dyDescent="0.3">
      <c r="A163" s="198"/>
      <c r="B163" s="195"/>
      <c r="C163" s="73"/>
      <c r="D163" s="73"/>
      <c r="E163" s="197" t="str">
        <f>IF(Dades!E753="","",Dades!E753)</f>
        <v/>
      </c>
      <c r="F163" s="396">
        <f>(DSUM('1_Combustibles fòssils'!$E$17:$N$39,"emissions",'6.1_Resultats Illes Balears'!E$71:E163)/1000)-SUM(F$72:F162)</f>
        <v>0</v>
      </c>
      <c r="G163" s="396">
        <f>((DSUM('1_Combustibles fòssils'!$E$47:$U$67,"emissions1",'6.1_Resultats Illes Balears'!E$71:E163)+DSUM('1_Combustibles fòssils'!$E$47:$U$67,"emissions2",'6.1_Resultats Illes Balears'!E$71:E163))/1000)-SUM(G$72:G162)</f>
        <v>0</v>
      </c>
      <c r="H163" s="396">
        <f>(DSUM('2_Fluorats'!$E$11:$P$33,"emissions",'6.1_Resultats Illes Balears'!E$71:E163)/1000)-SUM(H$72:H162)</f>
        <v>0</v>
      </c>
      <c r="I163" s="507">
        <f>(DSUM('3_Emissions processos'!$E$13:$K$35,"emissions",'6.1_Resultats Illes Balears'!E$71:E163)/1000)-SUM(I$72:I162)</f>
        <v>0</v>
      </c>
      <c r="J163" s="507"/>
      <c r="K163" s="508">
        <f t="shared" si="2"/>
        <v>0</v>
      </c>
      <c r="L163" s="508"/>
      <c r="M163" s="508"/>
      <c r="N163" s="507">
        <f>((DSUM('4.1_Electricitat Illes Balears'!$E$20:$J$42,"emisiones",'6.1_Resultats Illes Balears'!E$71:E163)+DSUM('4.1_Electricitat Illes Balears'!$E$50:$K$70,"emisiones",'6.1_Resultats Illes Balears'!E$71:E163))/1000)-SUM(N$72:N162)</f>
        <v>0</v>
      </c>
      <c r="O163" s="508"/>
      <c r="P163" s="508">
        <f t="shared" si="3"/>
        <v>0</v>
      </c>
      <c r="Q163" s="508"/>
      <c r="R163" s="508"/>
      <c r="S163" s="73"/>
      <c r="T163" s="73"/>
      <c r="U163" s="73"/>
    </row>
    <row r="164" spans="1:21" x14ac:dyDescent="0.3">
      <c r="A164" s="198"/>
      <c r="B164" s="195"/>
      <c r="C164" s="73"/>
      <c r="D164" s="73"/>
      <c r="E164" s="197" t="str">
        <f>IF(Dades!E754="","",Dades!E754)</f>
        <v/>
      </c>
      <c r="F164" s="396">
        <f>(DSUM('1_Combustibles fòssils'!$E$17:$N$39,"emissions",'6.1_Resultats Illes Balears'!E$71:E164)/1000)-SUM(F$72:F163)</f>
        <v>0</v>
      </c>
      <c r="G164" s="396">
        <f>((DSUM('1_Combustibles fòssils'!$E$47:$U$67,"emissions1",'6.1_Resultats Illes Balears'!E$71:E164)+DSUM('1_Combustibles fòssils'!$E$47:$U$67,"emissions2",'6.1_Resultats Illes Balears'!E$71:E164))/1000)-SUM(G$72:G163)</f>
        <v>0</v>
      </c>
      <c r="H164" s="396">
        <f>(DSUM('2_Fluorats'!$E$11:$P$33,"emissions",'6.1_Resultats Illes Balears'!E$71:E164)/1000)-SUM(H$72:H163)</f>
        <v>0</v>
      </c>
      <c r="I164" s="507">
        <f>(DSUM('3_Emissions processos'!$E$13:$K$35,"emissions",'6.1_Resultats Illes Balears'!E$71:E164)/1000)-SUM(I$72:I163)</f>
        <v>0</v>
      </c>
      <c r="J164" s="507"/>
      <c r="K164" s="508">
        <f t="shared" si="2"/>
        <v>0</v>
      </c>
      <c r="L164" s="508"/>
      <c r="M164" s="508"/>
      <c r="N164" s="507">
        <f>((DSUM('4.1_Electricitat Illes Balears'!$E$20:$J$42,"emisiones",'6.1_Resultats Illes Balears'!E$71:E164)+DSUM('4.1_Electricitat Illes Balears'!$E$50:$K$70,"emisiones",'6.1_Resultats Illes Balears'!E$71:E164))/1000)-SUM(N$72:N163)</f>
        <v>0</v>
      </c>
      <c r="O164" s="508"/>
      <c r="P164" s="508">
        <f t="shared" si="3"/>
        <v>0</v>
      </c>
      <c r="Q164" s="508"/>
      <c r="R164" s="508"/>
      <c r="S164" s="73"/>
      <c r="T164" s="73"/>
      <c r="U164" s="73"/>
    </row>
    <row r="165" spans="1:21" x14ac:dyDescent="0.3">
      <c r="A165" s="198"/>
      <c r="B165" s="195"/>
      <c r="C165" s="73"/>
      <c r="D165" s="73"/>
      <c r="E165" s="197" t="str">
        <f>IF(Dades!E755="","",Dades!E755)</f>
        <v/>
      </c>
      <c r="F165" s="396">
        <f>(DSUM('1_Combustibles fòssils'!$E$17:$N$39,"emissions",'6.1_Resultats Illes Balears'!E$71:E165)/1000)-SUM(F$72:F164)</f>
        <v>0</v>
      </c>
      <c r="G165" s="396">
        <f>((DSUM('1_Combustibles fòssils'!$E$47:$U$67,"emissions1",'6.1_Resultats Illes Balears'!E$71:E165)+DSUM('1_Combustibles fòssils'!$E$47:$U$67,"emissions2",'6.1_Resultats Illes Balears'!E$71:E165))/1000)-SUM(G$72:G164)</f>
        <v>0</v>
      </c>
      <c r="H165" s="396">
        <f>(DSUM('2_Fluorats'!$E$11:$P$33,"emissions",'6.1_Resultats Illes Balears'!E$71:E165)/1000)-SUM(H$72:H164)</f>
        <v>0</v>
      </c>
      <c r="I165" s="507">
        <f>(DSUM('3_Emissions processos'!$E$13:$K$35,"emissions",'6.1_Resultats Illes Balears'!E$71:E165)/1000)-SUM(I$72:I164)</f>
        <v>0</v>
      </c>
      <c r="J165" s="507"/>
      <c r="K165" s="508">
        <f t="shared" si="2"/>
        <v>0</v>
      </c>
      <c r="L165" s="508"/>
      <c r="M165" s="508"/>
      <c r="N165" s="507">
        <f>((DSUM('4.1_Electricitat Illes Balears'!$E$20:$J$42,"emisiones",'6.1_Resultats Illes Balears'!E$71:E165)+DSUM('4.1_Electricitat Illes Balears'!$E$50:$K$70,"emisiones",'6.1_Resultats Illes Balears'!E$71:E165))/1000)-SUM(N$72:N164)</f>
        <v>0</v>
      </c>
      <c r="O165" s="508"/>
      <c r="P165" s="508">
        <f t="shared" si="3"/>
        <v>0</v>
      </c>
      <c r="Q165" s="508"/>
      <c r="R165" s="508"/>
      <c r="S165" s="73"/>
      <c r="T165" s="73"/>
      <c r="U165" s="73"/>
    </row>
    <row r="166" spans="1:21" x14ac:dyDescent="0.3">
      <c r="A166" s="198"/>
      <c r="B166" s="195"/>
      <c r="C166" s="73"/>
      <c r="D166" s="73"/>
      <c r="E166" s="197" t="str">
        <f>IF(Dades!E756="","",Dades!E756)</f>
        <v/>
      </c>
      <c r="F166" s="396">
        <f>(DSUM('1_Combustibles fòssils'!$E$17:$N$39,"emissions",'6.1_Resultats Illes Balears'!E$71:E166)/1000)-SUM(F$72:F165)</f>
        <v>0</v>
      </c>
      <c r="G166" s="396">
        <f>((DSUM('1_Combustibles fòssils'!$E$47:$U$67,"emissions1",'6.1_Resultats Illes Balears'!E$71:E166)+DSUM('1_Combustibles fòssils'!$E$47:$U$67,"emissions2",'6.1_Resultats Illes Balears'!E$71:E166))/1000)-SUM(G$72:G165)</f>
        <v>0</v>
      </c>
      <c r="H166" s="396">
        <f>(DSUM('2_Fluorats'!$E$11:$P$33,"emissions",'6.1_Resultats Illes Balears'!E$71:E166)/1000)-SUM(H$72:H165)</f>
        <v>0</v>
      </c>
      <c r="I166" s="507">
        <f>(DSUM('3_Emissions processos'!$E$13:$K$35,"emissions",'6.1_Resultats Illes Balears'!E$71:E166)/1000)-SUM(I$72:I165)</f>
        <v>0</v>
      </c>
      <c r="J166" s="507"/>
      <c r="K166" s="508">
        <f t="shared" si="2"/>
        <v>0</v>
      </c>
      <c r="L166" s="508"/>
      <c r="M166" s="508"/>
      <c r="N166" s="507">
        <f>((DSUM('4.1_Electricitat Illes Balears'!$E$20:$J$42,"emisiones",'6.1_Resultats Illes Balears'!E$71:E166)+DSUM('4.1_Electricitat Illes Balears'!$E$50:$K$70,"emisiones",'6.1_Resultats Illes Balears'!E$71:E166))/1000)-SUM(N$72:N165)</f>
        <v>0</v>
      </c>
      <c r="O166" s="508"/>
      <c r="P166" s="508">
        <f t="shared" si="3"/>
        <v>0</v>
      </c>
      <c r="Q166" s="508"/>
      <c r="R166" s="508"/>
      <c r="S166" s="73"/>
      <c r="T166" s="73"/>
      <c r="U166" s="73"/>
    </row>
    <row r="167" spans="1:21" x14ac:dyDescent="0.3">
      <c r="A167" s="198"/>
      <c r="B167" s="195"/>
      <c r="C167" s="73"/>
      <c r="D167" s="73"/>
      <c r="E167" s="197" t="str">
        <f>IF(Dades!E757="","",Dades!E757)</f>
        <v/>
      </c>
      <c r="F167" s="396">
        <f>(DSUM('1_Combustibles fòssils'!$E$17:$N$39,"emissions",'6.1_Resultats Illes Balears'!E$71:E167)/1000)-SUM(F$72:F166)</f>
        <v>0</v>
      </c>
      <c r="G167" s="396">
        <f>((DSUM('1_Combustibles fòssils'!$E$47:$U$67,"emissions1",'6.1_Resultats Illes Balears'!E$71:E167)+DSUM('1_Combustibles fòssils'!$E$47:$U$67,"emissions2",'6.1_Resultats Illes Balears'!E$71:E167))/1000)-SUM(G$72:G166)</f>
        <v>0</v>
      </c>
      <c r="H167" s="396">
        <f>(DSUM('2_Fluorats'!$E$11:$P$33,"emissions",'6.1_Resultats Illes Balears'!E$71:E167)/1000)-SUM(H$72:H166)</f>
        <v>0</v>
      </c>
      <c r="I167" s="507">
        <f>(DSUM('3_Emissions processos'!$E$13:$K$35,"emissions",'6.1_Resultats Illes Balears'!E$71:E167)/1000)-SUM(I$72:I166)</f>
        <v>0</v>
      </c>
      <c r="J167" s="507"/>
      <c r="K167" s="508">
        <f t="shared" si="2"/>
        <v>0</v>
      </c>
      <c r="L167" s="508"/>
      <c r="M167" s="508"/>
      <c r="N167" s="507">
        <f>((DSUM('4.1_Electricitat Illes Balears'!$E$20:$J$42,"emisiones",'6.1_Resultats Illes Balears'!E$71:E167)+DSUM('4.1_Electricitat Illes Balears'!$E$50:$K$70,"emisiones",'6.1_Resultats Illes Balears'!E$71:E167))/1000)-SUM(N$72:N166)</f>
        <v>0</v>
      </c>
      <c r="O167" s="508"/>
      <c r="P167" s="508">
        <f t="shared" si="3"/>
        <v>0</v>
      </c>
      <c r="Q167" s="508"/>
      <c r="R167" s="508"/>
      <c r="S167" s="73"/>
      <c r="T167" s="73"/>
      <c r="U167" s="73"/>
    </row>
    <row r="168" spans="1:21" ht="16.5" customHeight="1" x14ac:dyDescent="0.3">
      <c r="A168" s="198"/>
      <c r="B168" s="195"/>
      <c r="C168" s="73"/>
      <c r="D168" s="73"/>
      <c r="E168" s="197" t="str">
        <f>IF(Dades!E758="","",Dades!E758)</f>
        <v/>
      </c>
      <c r="F168" s="396">
        <f>(DSUM('1_Combustibles fòssils'!$E$17:$N$39,"emissions",'6.1_Resultats Illes Balears'!E$71:E168)/1000)-SUM(F$72:F167)</f>
        <v>0</v>
      </c>
      <c r="G168" s="396">
        <f>((DSUM('1_Combustibles fòssils'!$E$47:$U$67,"emissions1",'6.1_Resultats Illes Balears'!E$71:E168)+DSUM('1_Combustibles fòssils'!$E$47:$U$67,"emissions2",'6.1_Resultats Illes Balears'!E$71:E168))/1000)-SUM(G$72:G167)</f>
        <v>0</v>
      </c>
      <c r="H168" s="396">
        <f>(DSUM('2_Fluorats'!$E$11:$P$33,"emissions",'6.1_Resultats Illes Balears'!E$71:E168)/1000)-SUM(H$72:H167)</f>
        <v>0</v>
      </c>
      <c r="I168" s="507">
        <f>(DSUM('3_Emissions processos'!$E$13:$K$35,"emissions",'6.1_Resultats Illes Balears'!E$71:E168)/1000)-SUM(I$72:I167)</f>
        <v>0</v>
      </c>
      <c r="J168" s="507"/>
      <c r="K168" s="508">
        <f t="shared" si="2"/>
        <v>0</v>
      </c>
      <c r="L168" s="508"/>
      <c r="M168" s="508"/>
      <c r="N168" s="507">
        <f>((DSUM('4.1_Electricitat Illes Balears'!$E$20:$J$42,"emisiones",'6.1_Resultats Illes Balears'!E$71:E168)+DSUM('4.1_Electricitat Illes Balears'!$E$50:$K$70,"emisiones",'6.1_Resultats Illes Balears'!E$71:E168))/1000)-SUM(N$72:N167)</f>
        <v>0</v>
      </c>
      <c r="O168" s="508"/>
      <c r="P168" s="508">
        <f t="shared" si="3"/>
        <v>0</v>
      </c>
      <c r="Q168" s="508"/>
      <c r="R168" s="508"/>
      <c r="S168" s="73"/>
      <c r="T168" s="73"/>
      <c r="U168" s="73"/>
    </row>
    <row r="169" spans="1:21" ht="16.5" customHeight="1" x14ac:dyDescent="0.3">
      <c r="A169" s="198"/>
      <c r="B169" s="195"/>
      <c r="C169" s="73"/>
      <c r="D169" s="73"/>
      <c r="E169" s="197" t="str">
        <f>IF(Dades!E759="","",Dades!E759)</f>
        <v/>
      </c>
      <c r="F169" s="396">
        <f>(DSUM('1_Combustibles fòssils'!$E$17:$N$39,"emissions",'6.1_Resultats Illes Balears'!E$71:E169)/1000)-SUM(F$72:F168)</f>
        <v>0</v>
      </c>
      <c r="G169" s="396">
        <f>((DSUM('1_Combustibles fòssils'!$E$47:$U$67,"emissions1",'6.1_Resultats Illes Balears'!E$71:E169)+DSUM('1_Combustibles fòssils'!$E$47:$U$67,"emissions2",'6.1_Resultats Illes Balears'!E$71:E169))/1000)-SUM(G$72:G168)</f>
        <v>0</v>
      </c>
      <c r="H169" s="396">
        <f>(DSUM('2_Fluorats'!$E$11:$P$33,"emissions",'6.1_Resultats Illes Balears'!E$71:E169)/1000)-SUM(H$72:H168)</f>
        <v>0</v>
      </c>
      <c r="I169" s="507">
        <f>(DSUM('3_Emissions processos'!$E$13:$K$35,"emissions",'6.1_Resultats Illes Balears'!E$71:E169)/1000)-SUM(I$72:I168)</f>
        <v>0</v>
      </c>
      <c r="J169" s="507"/>
      <c r="K169" s="508">
        <f t="shared" si="2"/>
        <v>0</v>
      </c>
      <c r="L169" s="508"/>
      <c r="M169" s="508"/>
      <c r="N169" s="507">
        <f>((DSUM('4.1_Electricitat Illes Balears'!$E$20:$J$42,"emisiones",'6.1_Resultats Illes Balears'!E$71:E169)+DSUM('4.1_Electricitat Illes Balears'!$E$50:$K$70,"emisiones",'6.1_Resultats Illes Balears'!E$71:E169))/1000)-SUM(N$72:N168)</f>
        <v>0</v>
      </c>
      <c r="O169" s="508"/>
      <c r="P169" s="508">
        <f t="shared" si="3"/>
        <v>0</v>
      </c>
      <c r="Q169" s="508"/>
      <c r="R169" s="508"/>
      <c r="S169" s="73"/>
      <c r="T169" s="73"/>
      <c r="U169" s="73"/>
    </row>
    <row r="170" spans="1:21" ht="16.5" customHeight="1" x14ac:dyDescent="0.3">
      <c r="A170" s="198"/>
      <c r="B170" s="195"/>
      <c r="C170" s="73"/>
      <c r="D170" s="73"/>
      <c r="E170" s="197" t="str">
        <f>IF(Dades!E760="","",Dades!E760)</f>
        <v/>
      </c>
      <c r="F170" s="396">
        <f>(DSUM('1_Combustibles fòssils'!$E$17:$N$39,"emissions",'6.1_Resultats Illes Balears'!E$71:E170)/1000)-SUM(F$72:F169)</f>
        <v>0</v>
      </c>
      <c r="G170" s="396">
        <f>((DSUM('1_Combustibles fòssils'!$E$47:$U$67,"emissions1",'6.1_Resultats Illes Balears'!E$71:E170)+DSUM('1_Combustibles fòssils'!$E$47:$U$67,"emissions2",'6.1_Resultats Illes Balears'!E$71:E170))/1000)-SUM(G$72:G169)</f>
        <v>0</v>
      </c>
      <c r="H170" s="396">
        <f>(DSUM('2_Fluorats'!$E$11:$P$33,"emissions",'6.1_Resultats Illes Balears'!E$71:E170)/1000)-SUM(H$72:H169)</f>
        <v>0</v>
      </c>
      <c r="I170" s="507">
        <f>(DSUM('3_Emissions processos'!$E$13:$K$35,"emissions",'6.1_Resultats Illes Balears'!E$71:E170)/1000)-SUM(I$72:I169)</f>
        <v>0</v>
      </c>
      <c r="J170" s="507"/>
      <c r="K170" s="508">
        <f t="shared" si="2"/>
        <v>0</v>
      </c>
      <c r="L170" s="508"/>
      <c r="M170" s="508"/>
      <c r="N170" s="507">
        <f>((DSUM('4.1_Electricitat Illes Balears'!$E$20:$J$42,"emisiones",'6.1_Resultats Illes Balears'!E$71:E170)+DSUM('4.1_Electricitat Illes Balears'!$E$50:$K$70,"emisiones",'6.1_Resultats Illes Balears'!E$71:E170))/1000)-SUM(N$72:N169)</f>
        <v>0</v>
      </c>
      <c r="O170" s="508"/>
      <c r="P170" s="508">
        <f t="shared" si="3"/>
        <v>0</v>
      </c>
      <c r="Q170" s="508"/>
      <c r="R170" s="508"/>
      <c r="S170" s="73"/>
      <c r="T170" s="73"/>
      <c r="U170" s="73"/>
    </row>
    <row r="171" spans="1:21" ht="16.5" customHeight="1" x14ac:dyDescent="0.3">
      <c r="A171" s="198"/>
      <c r="B171" s="195"/>
      <c r="C171" s="73"/>
      <c r="D171" s="73"/>
      <c r="E171" s="197" t="str">
        <f>IF(Dades!E761="","",Dades!E761)</f>
        <v/>
      </c>
      <c r="F171" s="396">
        <f>(DSUM('1_Combustibles fòssils'!$E$17:$N$39,"emissions",'6.1_Resultats Illes Balears'!E$71:E171)/1000)-SUM(F$72:F170)</f>
        <v>0</v>
      </c>
      <c r="G171" s="396">
        <f>((DSUM('1_Combustibles fòssils'!$E$47:$U$67,"emissions1",'6.1_Resultats Illes Balears'!E$71:E171)+DSUM('1_Combustibles fòssils'!$E$47:$U$67,"emissions2",'6.1_Resultats Illes Balears'!E$71:E171))/1000)-SUM(G$72:G170)</f>
        <v>0</v>
      </c>
      <c r="H171" s="396">
        <f>(DSUM('2_Fluorats'!$E$11:$P$33,"emissions",'6.1_Resultats Illes Balears'!E$71:E171)/1000)-SUM(H$72:H170)</f>
        <v>0</v>
      </c>
      <c r="I171" s="507">
        <f>(DSUM('3_Emissions processos'!$E$13:$K$35,"emissions",'6.1_Resultats Illes Balears'!E$71:E171)/1000)-SUM(I$72:I170)</f>
        <v>0</v>
      </c>
      <c r="J171" s="507"/>
      <c r="K171" s="508">
        <f t="shared" si="2"/>
        <v>0</v>
      </c>
      <c r="L171" s="508"/>
      <c r="M171" s="508"/>
      <c r="N171" s="507">
        <f>((DSUM('4.1_Electricitat Illes Balears'!$E$20:$J$42,"emisiones",'6.1_Resultats Illes Balears'!E$71:E171)+DSUM('4.1_Electricitat Illes Balears'!$E$50:$K$70,"emisiones",'6.1_Resultats Illes Balears'!E$71:E171))/1000)-SUM(N$72:N170)</f>
        <v>0</v>
      </c>
      <c r="O171" s="508"/>
      <c r="P171" s="508">
        <f t="shared" si="3"/>
        <v>0</v>
      </c>
      <c r="Q171" s="508"/>
      <c r="R171" s="508"/>
      <c r="S171" s="73"/>
      <c r="T171" s="73"/>
      <c r="U171" s="73"/>
    </row>
    <row r="172" spans="1:21" ht="16.5" customHeight="1" x14ac:dyDescent="0.3">
      <c r="A172" s="198"/>
      <c r="B172" s="195"/>
      <c r="C172" s="73"/>
      <c r="D172" s="73"/>
      <c r="E172" s="197" t="str">
        <f>IF(Dades!E762="","",Dades!E762)</f>
        <v/>
      </c>
      <c r="F172" s="396">
        <f>(DSUM('1_Combustibles fòssils'!$E$17:$N$39,"emissions",'6.1_Resultats Illes Balears'!E$71:E172)/1000)-SUM(F$72:F171)</f>
        <v>0</v>
      </c>
      <c r="G172" s="396">
        <f>((DSUM('1_Combustibles fòssils'!$E$47:$U$67,"emissions1",'6.1_Resultats Illes Balears'!E$71:E172)+DSUM('1_Combustibles fòssils'!$E$47:$U$67,"emissions2",'6.1_Resultats Illes Balears'!E$71:E172))/1000)-SUM(G$72:G171)</f>
        <v>0</v>
      </c>
      <c r="H172" s="396">
        <f>(DSUM('2_Fluorats'!$E$11:$P$33,"emissions",'6.1_Resultats Illes Balears'!E$71:E172)/1000)-SUM(H$72:H171)</f>
        <v>0</v>
      </c>
      <c r="I172" s="507">
        <f>(DSUM('3_Emissions processos'!$E$13:$K$35,"emissions",'6.1_Resultats Illes Balears'!E$71:E172)/1000)-SUM(I$72:I171)</f>
        <v>0</v>
      </c>
      <c r="J172" s="507"/>
      <c r="K172" s="508">
        <f t="shared" si="2"/>
        <v>0</v>
      </c>
      <c r="L172" s="508"/>
      <c r="M172" s="508"/>
      <c r="N172" s="507">
        <f>((DSUM('4.1_Electricitat Illes Balears'!$E$20:$J$42,"emisiones",'6.1_Resultats Illes Balears'!E$71:E172)+DSUM('4.1_Electricitat Illes Balears'!$E$50:$K$70,"emisiones",'6.1_Resultats Illes Balears'!E$71:E172))/1000)-SUM(N$72:N171)</f>
        <v>0</v>
      </c>
      <c r="O172" s="508"/>
      <c r="P172" s="508">
        <f t="shared" si="3"/>
        <v>0</v>
      </c>
      <c r="Q172" s="508"/>
      <c r="R172" s="508"/>
      <c r="S172" s="73"/>
      <c r="T172" s="73"/>
      <c r="U172" s="73"/>
    </row>
    <row r="173" spans="1:21" x14ac:dyDescent="0.3">
      <c r="A173" s="198"/>
      <c r="B173" s="195"/>
      <c r="C173" s="73"/>
      <c r="D173" s="73"/>
      <c r="E173" s="197" t="str">
        <f>IF(Dades!E763="","",Dades!E763)</f>
        <v/>
      </c>
      <c r="F173" s="396">
        <f>(DSUM('1_Combustibles fòssils'!$E$17:$N$39,"emissions",'6.1_Resultats Illes Balears'!E$71:E173)/1000)-SUM(F$72:F172)</f>
        <v>0</v>
      </c>
      <c r="G173" s="396">
        <f>((DSUM('1_Combustibles fòssils'!$E$47:$U$67,"emissions1",'6.1_Resultats Illes Balears'!E$71:E173)+DSUM('1_Combustibles fòssils'!$E$47:$U$67,"emissions2",'6.1_Resultats Illes Balears'!E$71:E173))/1000)-SUM(G$72:G172)</f>
        <v>0</v>
      </c>
      <c r="H173" s="396">
        <f>(DSUM('2_Fluorats'!$E$11:$P$33,"emissions",'6.1_Resultats Illes Balears'!E$71:E173)/1000)-SUM(H$72:H172)</f>
        <v>0</v>
      </c>
      <c r="I173" s="507">
        <f>(DSUM('3_Emissions processos'!$E$13:$K$35,"emissions",'6.1_Resultats Illes Balears'!E$71:E173)/1000)-SUM(I$72:I172)</f>
        <v>0</v>
      </c>
      <c r="J173" s="507"/>
      <c r="K173" s="508">
        <f t="shared" si="2"/>
        <v>0</v>
      </c>
      <c r="L173" s="508"/>
      <c r="M173" s="508"/>
      <c r="N173" s="507">
        <f>((DSUM('4.1_Electricitat Illes Balears'!$E$20:$J$42,"emisiones",'6.1_Resultats Illes Balears'!E$71:E173)+DSUM('4.1_Electricitat Illes Balears'!$E$50:$K$70,"emisiones",'6.1_Resultats Illes Balears'!E$71:E173))/1000)-SUM(N$72:N172)</f>
        <v>0</v>
      </c>
      <c r="O173" s="508"/>
      <c r="P173" s="508">
        <f t="shared" si="3"/>
        <v>0</v>
      </c>
      <c r="Q173" s="508"/>
      <c r="R173" s="508"/>
      <c r="S173" s="73"/>
      <c r="T173" s="73"/>
      <c r="U173" s="73"/>
    </row>
    <row r="174" spans="1:21" ht="16.5" customHeight="1" x14ac:dyDescent="0.3">
      <c r="A174" s="198"/>
      <c r="B174" s="195"/>
      <c r="C174" s="73"/>
      <c r="D174" s="73"/>
      <c r="E174" s="197" t="str">
        <f>IF(Dades!E764="","",Dades!E764)</f>
        <v/>
      </c>
      <c r="F174" s="396">
        <f>(DSUM('1_Combustibles fòssils'!$E$17:$N$39,"emissions",'6.1_Resultats Illes Balears'!E$71:E174)/1000)-SUM(F$72:F173)</f>
        <v>0</v>
      </c>
      <c r="G174" s="396">
        <f>((DSUM('1_Combustibles fòssils'!$E$47:$U$67,"emissions1",'6.1_Resultats Illes Balears'!E$71:E174)+DSUM('1_Combustibles fòssils'!$E$47:$U$67,"emissions2",'6.1_Resultats Illes Balears'!E$71:E174))/1000)-SUM(G$72:G173)</f>
        <v>0</v>
      </c>
      <c r="H174" s="396">
        <f>(DSUM('2_Fluorats'!$E$11:$P$33,"emissions",'6.1_Resultats Illes Balears'!E$71:E174)/1000)-SUM(H$72:H173)</f>
        <v>0</v>
      </c>
      <c r="I174" s="507">
        <f>(DSUM('3_Emissions processos'!$E$13:$K$35,"emissions",'6.1_Resultats Illes Balears'!E$71:E174)/1000)-SUM(I$72:I173)</f>
        <v>0</v>
      </c>
      <c r="J174" s="507"/>
      <c r="K174" s="508">
        <f t="shared" si="2"/>
        <v>0</v>
      </c>
      <c r="L174" s="508"/>
      <c r="M174" s="508"/>
      <c r="N174" s="507">
        <f>((DSUM('4.1_Electricitat Illes Balears'!$E$20:$J$42,"emisiones",'6.1_Resultats Illes Balears'!E$71:E174)+DSUM('4.1_Electricitat Illes Balears'!$E$50:$K$70,"emisiones",'6.1_Resultats Illes Balears'!E$71:E174))/1000)-SUM(N$72:N173)</f>
        <v>0</v>
      </c>
      <c r="O174" s="508"/>
      <c r="P174" s="508">
        <f t="shared" si="3"/>
        <v>0</v>
      </c>
      <c r="Q174" s="508"/>
      <c r="R174" s="508"/>
      <c r="S174" s="73"/>
      <c r="T174" s="73"/>
      <c r="U174" s="73"/>
    </row>
    <row r="175" spans="1:21" x14ac:dyDescent="0.3">
      <c r="A175" s="198"/>
      <c r="B175" s="195"/>
      <c r="C175" s="73"/>
      <c r="D175" s="73"/>
      <c r="E175" s="197" t="str">
        <f>IF(Dades!E765="","",Dades!E765)</f>
        <v/>
      </c>
      <c r="F175" s="396">
        <f>(DSUM('1_Combustibles fòssils'!$E$17:$N$39,"emissions",'6.1_Resultats Illes Balears'!E$71:E175)/1000)-SUM(F$72:F174)</f>
        <v>0</v>
      </c>
      <c r="G175" s="396">
        <f>((DSUM('1_Combustibles fòssils'!$E$47:$U$67,"emissions1",'6.1_Resultats Illes Balears'!E$71:E175)+DSUM('1_Combustibles fòssils'!$E$47:$U$67,"emissions2",'6.1_Resultats Illes Balears'!E$71:E175))/1000)-SUM(G$72:G174)</f>
        <v>0</v>
      </c>
      <c r="H175" s="396">
        <f>(DSUM('2_Fluorats'!$E$11:$P$33,"emissions",'6.1_Resultats Illes Balears'!E$71:E175)/1000)-SUM(H$72:H174)</f>
        <v>0</v>
      </c>
      <c r="I175" s="507">
        <f>(DSUM('3_Emissions processos'!$E$13:$K$35,"emissions",'6.1_Resultats Illes Balears'!E$71:E175)/1000)-SUM(I$72:I174)</f>
        <v>0</v>
      </c>
      <c r="J175" s="507"/>
      <c r="K175" s="508">
        <f t="shared" si="2"/>
        <v>0</v>
      </c>
      <c r="L175" s="508"/>
      <c r="M175" s="508"/>
      <c r="N175" s="507">
        <f>((DSUM('4.1_Electricitat Illes Balears'!$E$20:$J$42,"emisiones",'6.1_Resultats Illes Balears'!E$71:E175)+DSUM('4.1_Electricitat Illes Balears'!$E$50:$K$70,"emisiones",'6.1_Resultats Illes Balears'!E$71:E175))/1000)-SUM(N$72:N174)</f>
        <v>0</v>
      </c>
      <c r="O175" s="508"/>
      <c r="P175" s="508">
        <f t="shared" si="3"/>
        <v>0</v>
      </c>
      <c r="Q175" s="508"/>
      <c r="R175" s="508"/>
      <c r="S175" s="73"/>
      <c r="T175" s="73"/>
      <c r="U175" s="73"/>
    </row>
    <row r="176" spans="1:21" x14ac:dyDescent="0.3">
      <c r="A176" s="198"/>
      <c r="B176" s="195"/>
      <c r="C176" s="73"/>
      <c r="D176" s="73"/>
      <c r="E176" s="197" t="str">
        <f>IF(Dades!E766="","",Dades!E766)</f>
        <v/>
      </c>
      <c r="F176" s="396">
        <f>(DSUM('1_Combustibles fòssils'!$E$17:$N$39,"emissions",'6.1_Resultats Illes Balears'!E$71:E176)/1000)-SUM(F$72:F175)</f>
        <v>0</v>
      </c>
      <c r="G176" s="396">
        <f>((DSUM('1_Combustibles fòssils'!$E$47:$U$67,"emissions1",'6.1_Resultats Illes Balears'!E$71:E176)+DSUM('1_Combustibles fòssils'!$E$47:$U$67,"emissions2",'6.1_Resultats Illes Balears'!E$71:E176))/1000)-SUM(G$72:G175)</f>
        <v>0</v>
      </c>
      <c r="H176" s="396">
        <f>(DSUM('2_Fluorats'!$E$11:$P$33,"emissions",'6.1_Resultats Illes Balears'!E$71:E176)/1000)-SUM(H$72:H175)</f>
        <v>0</v>
      </c>
      <c r="I176" s="507">
        <f>(DSUM('3_Emissions processos'!$E$13:$K$35,"emissions",'6.1_Resultats Illes Balears'!E$71:E176)/1000)-SUM(I$72:I175)</f>
        <v>0</v>
      </c>
      <c r="J176" s="507"/>
      <c r="K176" s="508">
        <f t="shared" si="2"/>
        <v>0</v>
      </c>
      <c r="L176" s="508"/>
      <c r="M176" s="508"/>
      <c r="N176" s="507">
        <f>((DSUM('4.1_Electricitat Illes Balears'!$E$20:$J$42,"emisiones",'6.1_Resultats Illes Balears'!E$71:E176)+DSUM('4.1_Electricitat Illes Balears'!$E$50:$K$70,"emisiones",'6.1_Resultats Illes Balears'!E$71:E176))/1000)-SUM(N$72:N175)</f>
        <v>0</v>
      </c>
      <c r="O176" s="508"/>
      <c r="P176" s="508">
        <f t="shared" si="3"/>
        <v>0</v>
      </c>
      <c r="Q176" s="508"/>
      <c r="R176" s="508"/>
      <c r="S176" s="73"/>
      <c r="T176" s="73"/>
      <c r="U176" s="73"/>
    </row>
    <row r="177" spans="1:21" x14ac:dyDescent="0.3">
      <c r="A177" s="198"/>
      <c r="B177" s="195"/>
      <c r="C177" s="73"/>
      <c r="D177" s="73"/>
      <c r="E177" s="197" t="str">
        <f>IF(Dades!E767="","",Dades!E767)</f>
        <v/>
      </c>
      <c r="F177" s="396">
        <f>(DSUM('1_Combustibles fòssils'!$E$17:$N$39,"emissions",'6.1_Resultats Illes Balears'!E$71:E177)/1000)-SUM(F$72:F176)</f>
        <v>0</v>
      </c>
      <c r="G177" s="396">
        <f>((DSUM('1_Combustibles fòssils'!$E$47:$U$67,"emissions1",'6.1_Resultats Illes Balears'!E$71:E177)+DSUM('1_Combustibles fòssils'!$E$47:$U$67,"emissions2",'6.1_Resultats Illes Balears'!E$71:E177))/1000)-SUM(G$72:G176)</f>
        <v>0</v>
      </c>
      <c r="H177" s="396">
        <f>(DSUM('2_Fluorats'!$E$11:$P$33,"emissions",'6.1_Resultats Illes Balears'!E$71:E177)/1000)-SUM(H$72:H176)</f>
        <v>0</v>
      </c>
      <c r="I177" s="507">
        <f>(DSUM('3_Emissions processos'!$E$13:$K$35,"emissions",'6.1_Resultats Illes Balears'!E$71:E177)/1000)-SUM(I$72:I176)</f>
        <v>0</v>
      </c>
      <c r="J177" s="507"/>
      <c r="K177" s="508">
        <f t="shared" si="2"/>
        <v>0</v>
      </c>
      <c r="L177" s="508"/>
      <c r="M177" s="508"/>
      <c r="N177" s="507">
        <f>((DSUM('4.1_Electricitat Illes Balears'!$E$20:$J$42,"emisiones",'6.1_Resultats Illes Balears'!E$71:E177)+DSUM('4.1_Electricitat Illes Balears'!$E$50:$K$70,"emisiones",'6.1_Resultats Illes Balears'!E$71:E177))/1000)-SUM(N$72:N176)</f>
        <v>0</v>
      </c>
      <c r="O177" s="508"/>
      <c r="P177" s="508">
        <f t="shared" si="3"/>
        <v>0</v>
      </c>
      <c r="Q177" s="508"/>
      <c r="R177" s="508"/>
      <c r="S177" s="73"/>
      <c r="T177" s="73"/>
      <c r="U177" s="73"/>
    </row>
    <row r="178" spans="1:21" x14ac:dyDescent="0.3">
      <c r="A178" s="198"/>
      <c r="B178" s="195"/>
      <c r="C178" s="73"/>
      <c r="D178" s="73"/>
      <c r="E178" s="197" t="str">
        <f>IF(Dades!E768="","",Dades!E768)</f>
        <v/>
      </c>
      <c r="F178" s="396">
        <f>(DSUM('1_Combustibles fòssils'!$E$17:$N$39,"emissions",'6.1_Resultats Illes Balears'!E$71:E178)/1000)-SUM(F$72:F177)</f>
        <v>0</v>
      </c>
      <c r="G178" s="396">
        <f>((DSUM('1_Combustibles fòssils'!$E$47:$U$67,"emissions1",'6.1_Resultats Illes Balears'!E$71:E178)+DSUM('1_Combustibles fòssils'!$E$47:$U$67,"emissions2",'6.1_Resultats Illes Balears'!E$71:E178))/1000)-SUM(G$72:G177)</f>
        <v>0</v>
      </c>
      <c r="H178" s="396">
        <f>(DSUM('2_Fluorats'!$E$11:$P$33,"emissions",'6.1_Resultats Illes Balears'!E$71:E178)/1000)-SUM(H$72:H177)</f>
        <v>0</v>
      </c>
      <c r="I178" s="507">
        <f>(DSUM('3_Emissions processos'!$E$13:$K$35,"emissions",'6.1_Resultats Illes Balears'!E$71:E178)/1000)-SUM(I$72:I177)</f>
        <v>0</v>
      </c>
      <c r="J178" s="507"/>
      <c r="K178" s="508">
        <f t="shared" si="2"/>
        <v>0</v>
      </c>
      <c r="L178" s="508"/>
      <c r="M178" s="508"/>
      <c r="N178" s="507">
        <f>((DSUM('4.1_Electricitat Illes Balears'!$E$20:$J$42,"emisiones",'6.1_Resultats Illes Balears'!E$71:E178)+DSUM('4.1_Electricitat Illes Balears'!$E$50:$K$70,"emisiones",'6.1_Resultats Illes Balears'!E$71:E178))/1000)-SUM(N$72:N177)</f>
        <v>0</v>
      </c>
      <c r="O178" s="508"/>
      <c r="P178" s="508">
        <f t="shared" si="3"/>
        <v>0</v>
      </c>
      <c r="Q178" s="508"/>
      <c r="R178" s="508"/>
      <c r="S178" s="73"/>
      <c r="T178" s="73"/>
      <c r="U178" s="73"/>
    </row>
    <row r="179" spans="1:21" x14ac:dyDescent="0.3">
      <c r="A179" s="198"/>
      <c r="B179" s="195"/>
      <c r="C179" s="73"/>
      <c r="D179" s="73"/>
      <c r="E179" s="197" t="str">
        <f>IF(Dades!E769="","",Dades!E769)</f>
        <v/>
      </c>
      <c r="F179" s="396">
        <f>(DSUM('1_Combustibles fòssils'!$E$17:$N$39,"emissions",'6.1_Resultats Illes Balears'!E$71:E179)/1000)-SUM(F$72:F178)</f>
        <v>0</v>
      </c>
      <c r="G179" s="396">
        <f>((DSUM('1_Combustibles fòssils'!$E$47:$U$67,"emissions1",'6.1_Resultats Illes Balears'!E$71:E179)+DSUM('1_Combustibles fòssils'!$E$47:$U$67,"emissions2",'6.1_Resultats Illes Balears'!E$71:E179))/1000)-SUM(G$72:G178)</f>
        <v>0</v>
      </c>
      <c r="H179" s="396">
        <f>(DSUM('2_Fluorats'!$E$11:$P$33,"emissions",'6.1_Resultats Illes Balears'!E$71:E179)/1000)-SUM(H$72:H178)</f>
        <v>0</v>
      </c>
      <c r="I179" s="507">
        <f>(DSUM('3_Emissions processos'!$E$13:$K$35,"emissions",'6.1_Resultats Illes Balears'!E$71:E179)/1000)-SUM(I$72:I178)</f>
        <v>0</v>
      </c>
      <c r="J179" s="507"/>
      <c r="K179" s="508">
        <f t="shared" si="2"/>
        <v>0</v>
      </c>
      <c r="L179" s="508"/>
      <c r="M179" s="508"/>
      <c r="N179" s="507">
        <f>((DSUM('4.1_Electricitat Illes Balears'!$E$20:$J$42,"emisiones",'6.1_Resultats Illes Balears'!E$71:E179)+DSUM('4.1_Electricitat Illes Balears'!$E$50:$K$70,"emisiones",'6.1_Resultats Illes Balears'!E$71:E179))/1000)-SUM(N$72:N178)</f>
        <v>0</v>
      </c>
      <c r="O179" s="508"/>
      <c r="P179" s="508">
        <f t="shared" si="3"/>
        <v>0</v>
      </c>
      <c r="Q179" s="508"/>
      <c r="R179" s="508"/>
      <c r="S179" s="73"/>
      <c r="T179" s="73"/>
      <c r="U179" s="73"/>
    </row>
    <row r="180" spans="1:21" ht="16.5" customHeight="1" x14ac:dyDescent="0.3">
      <c r="A180" s="198"/>
      <c r="B180" s="195"/>
      <c r="C180" s="73"/>
      <c r="D180" s="73"/>
      <c r="E180" s="197" t="str">
        <f>IF(Dades!E770="","",Dades!E770)</f>
        <v/>
      </c>
      <c r="F180" s="396">
        <f>(DSUM('1_Combustibles fòssils'!$E$17:$N$39,"emissions",'6.1_Resultats Illes Balears'!E$71:E180)/1000)-SUM(F$72:F179)</f>
        <v>0</v>
      </c>
      <c r="G180" s="396">
        <f>((DSUM('1_Combustibles fòssils'!$E$47:$U$67,"emissions1",'6.1_Resultats Illes Balears'!E$71:E180)+DSUM('1_Combustibles fòssils'!$E$47:$U$67,"emissions2",'6.1_Resultats Illes Balears'!E$71:E180))/1000)-SUM(G$72:G179)</f>
        <v>0</v>
      </c>
      <c r="H180" s="396">
        <f>(DSUM('2_Fluorats'!$E$11:$P$33,"emissions",'6.1_Resultats Illes Balears'!E$71:E180)/1000)-SUM(H$72:H179)</f>
        <v>0</v>
      </c>
      <c r="I180" s="507">
        <f>(DSUM('3_Emissions processos'!$E$13:$K$35,"emissions",'6.1_Resultats Illes Balears'!E$71:E180)/1000)-SUM(I$72:I179)</f>
        <v>0</v>
      </c>
      <c r="J180" s="507"/>
      <c r="K180" s="508">
        <f t="shared" si="2"/>
        <v>0</v>
      </c>
      <c r="L180" s="508"/>
      <c r="M180" s="508"/>
      <c r="N180" s="507">
        <f>((DSUM('4.1_Electricitat Illes Balears'!$E$20:$J$42,"emisiones",'6.1_Resultats Illes Balears'!E$71:E180)+DSUM('4.1_Electricitat Illes Balears'!$E$50:$K$70,"emisiones",'6.1_Resultats Illes Balears'!E$71:E180))/1000)-SUM(N$72:N179)</f>
        <v>0</v>
      </c>
      <c r="O180" s="508"/>
      <c r="P180" s="508">
        <f t="shared" si="3"/>
        <v>0</v>
      </c>
      <c r="Q180" s="508"/>
      <c r="R180" s="508"/>
      <c r="S180" s="73"/>
      <c r="T180" s="73"/>
      <c r="U180" s="73"/>
    </row>
    <row r="181" spans="1:21" ht="16.5" customHeight="1" x14ac:dyDescent="0.3">
      <c r="A181" s="198"/>
      <c r="B181" s="195"/>
      <c r="C181" s="73"/>
      <c r="D181" s="73"/>
      <c r="E181" s="197" t="str">
        <f>IF(Dades!E771="","",Dades!E771)</f>
        <v/>
      </c>
      <c r="F181" s="396">
        <f>(DSUM('1_Combustibles fòssils'!$E$17:$N$39,"emissions",'6.1_Resultats Illes Balears'!E$71:E181)/1000)-SUM(F$72:F180)</f>
        <v>0</v>
      </c>
      <c r="G181" s="396">
        <f>((DSUM('1_Combustibles fòssils'!$E$47:$U$67,"emissions1",'6.1_Resultats Illes Balears'!E$71:E181)+DSUM('1_Combustibles fòssils'!$E$47:$U$67,"emissions2",'6.1_Resultats Illes Balears'!E$71:E181))/1000)-SUM(G$72:G180)</f>
        <v>0</v>
      </c>
      <c r="H181" s="396">
        <f>(DSUM('2_Fluorats'!$E$11:$P$33,"emissions",'6.1_Resultats Illes Balears'!E$71:E181)/1000)-SUM(H$72:H180)</f>
        <v>0</v>
      </c>
      <c r="I181" s="507">
        <f>(DSUM('3_Emissions processos'!$E$13:$K$35,"emissions",'6.1_Resultats Illes Balears'!E$71:E181)/1000)-SUM(I$72:I180)</f>
        <v>0</v>
      </c>
      <c r="J181" s="507"/>
      <c r="K181" s="508">
        <f t="shared" si="2"/>
        <v>0</v>
      </c>
      <c r="L181" s="508"/>
      <c r="M181" s="508"/>
      <c r="N181" s="507">
        <f>((DSUM('4.1_Electricitat Illes Balears'!$E$20:$J$42,"emisiones",'6.1_Resultats Illes Balears'!E$71:E181)+DSUM('4.1_Electricitat Illes Balears'!$E$50:$K$70,"emisiones",'6.1_Resultats Illes Balears'!E$71:E181))/1000)-SUM(N$72:N180)</f>
        <v>0</v>
      </c>
      <c r="O181" s="508"/>
      <c r="P181" s="508">
        <f t="shared" si="3"/>
        <v>0</v>
      </c>
      <c r="Q181" s="508"/>
      <c r="R181" s="508"/>
      <c r="S181" s="73"/>
      <c r="T181" s="73"/>
      <c r="U181" s="73"/>
    </row>
    <row r="182" spans="1:21" ht="16.5" customHeight="1" x14ac:dyDescent="0.3">
      <c r="A182" s="198"/>
      <c r="B182" s="195"/>
      <c r="C182" s="73"/>
      <c r="D182" s="73"/>
      <c r="E182" s="197" t="str">
        <f>IF(Dades!E772="","",Dades!E772)</f>
        <v/>
      </c>
      <c r="F182" s="396">
        <f>(DSUM('1_Combustibles fòssils'!$E$17:$N$39,"emissions",'6.1_Resultats Illes Balears'!E$71:E182)/1000)-SUM(F$72:F181)</f>
        <v>0</v>
      </c>
      <c r="G182" s="396">
        <f>((DSUM('1_Combustibles fòssils'!$E$47:$U$67,"emissions1",'6.1_Resultats Illes Balears'!E$71:E182)+DSUM('1_Combustibles fòssils'!$E$47:$U$67,"emissions2",'6.1_Resultats Illes Balears'!E$71:E182))/1000)-SUM(G$72:G181)</f>
        <v>0</v>
      </c>
      <c r="H182" s="396">
        <f>(DSUM('2_Fluorats'!$E$11:$P$33,"emissions",'6.1_Resultats Illes Balears'!E$71:E182)/1000)-SUM(H$72:H181)</f>
        <v>0</v>
      </c>
      <c r="I182" s="507">
        <f>(DSUM('3_Emissions processos'!$E$13:$K$35,"emissions",'6.1_Resultats Illes Balears'!E$71:E182)/1000)-SUM(I$72:I181)</f>
        <v>0</v>
      </c>
      <c r="J182" s="507"/>
      <c r="K182" s="508">
        <f t="shared" si="2"/>
        <v>0</v>
      </c>
      <c r="L182" s="508"/>
      <c r="M182" s="508"/>
      <c r="N182" s="507">
        <f>((DSUM('4.1_Electricitat Illes Balears'!$E$20:$J$42,"emisiones",'6.1_Resultats Illes Balears'!E$71:E182)+DSUM('4.1_Electricitat Illes Balears'!$E$50:$K$70,"emisiones",'6.1_Resultats Illes Balears'!E$71:E182))/1000)-SUM(N$72:N181)</f>
        <v>0</v>
      </c>
      <c r="O182" s="508"/>
      <c r="P182" s="508">
        <f t="shared" si="3"/>
        <v>0</v>
      </c>
      <c r="Q182" s="508"/>
      <c r="R182" s="508"/>
      <c r="S182" s="73"/>
      <c r="T182" s="73"/>
      <c r="U182" s="73"/>
    </row>
    <row r="183" spans="1:21" ht="16.5" customHeight="1" x14ac:dyDescent="0.3">
      <c r="A183" s="198"/>
      <c r="B183" s="195"/>
      <c r="C183" s="73"/>
      <c r="D183" s="73"/>
      <c r="E183" s="197" t="str">
        <f>IF(Dades!E773="","",Dades!E773)</f>
        <v/>
      </c>
      <c r="F183" s="396">
        <f>(DSUM('1_Combustibles fòssils'!$E$17:$N$39,"emissions",'6.1_Resultats Illes Balears'!E$71:E183)/1000)-SUM(F$72:F182)</f>
        <v>0</v>
      </c>
      <c r="G183" s="396">
        <f>((DSUM('1_Combustibles fòssils'!$E$47:$U$67,"emissions1",'6.1_Resultats Illes Balears'!E$71:E183)+DSUM('1_Combustibles fòssils'!$E$47:$U$67,"emissions2",'6.1_Resultats Illes Balears'!E$71:E183))/1000)-SUM(G$72:G182)</f>
        <v>0</v>
      </c>
      <c r="H183" s="396">
        <f>(DSUM('2_Fluorats'!$E$11:$P$33,"emissions",'6.1_Resultats Illes Balears'!E$71:E183)/1000)-SUM(H$72:H182)</f>
        <v>0</v>
      </c>
      <c r="I183" s="507">
        <f>(DSUM('3_Emissions processos'!$E$13:$K$35,"emissions",'6.1_Resultats Illes Balears'!E$71:E183)/1000)-SUM(I$72:I182)</f>
        <v>0</v>
      </c>
      <c r="J183" s="507"/>
      <c r="K183" s="508">
        <f t="shared" si="2"/>
        <v>0</v>
      </c>
      <c r="L183" s="508"/>
      <c r="M183" s="508"/>
      <c r="N183" s="507">
        <f>((DSUM('4.1_Electricitat Illes Balears'!$E$20:$J$42,"emisiones",'6.1_Resultats Illes Balears'!E$71:E183)+DSUM('4.1_Electricitat Illes Balears'!$E$50:$K$70,"emisiones",'6.1_Resultats Illes Balears'!E$71:E183))/1000)-SUM(N$72:N182)</f>
        <v>0</v>
      </c>
      <c r="O183" s="508"/>
      <c r="P183" s="508">
        <f t="shared" si="3"/>
        <v>0</v>
      </c>
      <c r="Q183" s="508"/>
      <c r="R183" s="508"/>
      <c r="S183" s="73"/>
      <c r="T183" s="73"/>
      <c r="U183" s="73"/>
    </row>
    <row r="184" spans="1:21" ht="16.5" customHeight="1" x14ac:dyDescent="0.3">
      <c r="A184" s="198"/>
      <c r="B184" s="195"/>
      <c r="C184" s="73"/>
      <c r="D184" s="73"/>
      <c r="E184" s="197" t="str">
        <f>IF(Dades!E774="","",Dades!E774)</f>
        <v/>
      </c>
      <c r="F184" s="396">
        <f>(DSUM('1_Combustibles fòssils'!$E$17:$N$39,"emissions",'6.1_Resultats Illes Balears'!E$71:E184)/1000)-SUM(F$72:F183)</f>
        <v>0</v>
      </c>
      <c r="G184" s="396">
        <f>((DSUM('1_Combustibles fòssils'!$E$47:$U$67,"emissions1",'6.1_Resultats Illes Balears'!E$71:E184)+DSUM('1_Combustibles fòssils'!$E$47:$U$67,"emissions2",'6.1_Resultats Illes Balears'!E$71:E184))/1000)-SUM(G$72:G183)</f>
        <v>0</v>
      </c>
      <c r="H184" s="396">
        <f>(DSUM('2_Fluorats'!$E$11:$P$33,"emissions",'6.1_Resultats Illes Balears'!E$71:E184)/1000)-SUM(H$72:H183)</f>
        <v>0</v>
      </c>
      <c r="I184" s="507">
        <f>(DSUM('3_Emissions processos'!$E$13:$K$35,"emissions",'6.1_Resultats Illes Balears'!E$71:E184)/1000)-SUM(I$72:I183)</f>
        <v>0</v>
      </c>
      <c r="J184" s="507"/>
      <c r="K184" s="508">
        <f t="shared" si="2"/>
        <v>0</v>
      </c>
      <c r="L184" s="508"/>
      <c r="M184" s="508"/>
      <c r="N184" s="507">
        <f>((DSUM('4.1_Electricitat Illes Balears'!$E$20:$J$42,"emisiones",'6.1_Resultats Illes Balears'!E$71:E184)+DSUM('4.1_Electricitat Illes Balears'!$E$50:$K$70,"emisiones",'6.1_Resultats Illes Balears'!E$71:E184))/1000)-SUM(N$72:N183)</f>
        <v>0</v>
      </c>
      <c r="O184" s="508"/>
      <c r="P184" s="508">
        <f t="shared" si="3"/>
        <v>0</v>
      </c>
      <c r="Q184" s="508"/>
      <c r="R184" s="508"/>
      <c r="S184" s="73"/>
      <c r="T184" s="73"/>
      <c r="U184" s="73"/>
    </row>
    <row r="185" spans="1:21" x14ac:dyDescent="0.3">
      <c r="A185" s="198"/>
      <c r="B185" s="195"/>
      <c r="C185" s="73"/>
      <c r="D185" s="73"/>
      <c r="E185" s="197" t="str">
        <f>IF(Dades!E775="","",Dades!E775)</f>
        <v/>
      </c>
      <c r="F185" s="396">
        <f>(DSUM('1_Combustibles fòssils'!$E$17:$N$39,"emissions",'6.1_Resultats Illes Balears'!E$71:E185)/1000)-SUM(F$72:F184)</f>
        <v>0</v>
      </c>
      <c r="G185" s="396">
        <f>((DSUM('1_Combustibles fòssils'!$E$47:$U$67,"emissions1",'6.1_Resultats Illes Balears'!E$71:E185)+DSUM('1_Combustibles fòssils'!$E$47:$U$67,"emissions2",'6.1_Resultats Illes Balears'!E$71:E185))/1000)-SUM(G$72:G184)</f>
        <v>0</v>
      </c>
      <c r="H185" s="396">
        <f>(DSUM('2_Fluorats'!$E$11:$P$33,"emissions",'6.1_Resultats Illes Balears'!E$71:E185)/1000)-SUM(H$72:H184)</f>
        <v>0</v>
      </c>
      <c r="I185" s="507">
        <f>(DSUM('3_Emissions processos'!$E$13:$K$35,"emissions",'6.1_Resultats Illes Balears'!E$71:E185)/1000)-SUM(I$72:I184)</f>
        <v>0</v>
      </c>
      <c r="J185" s="507"/>
      <c r="K185" s="508">
        <f t="shared" si="2"/>
        <v>0</v>
      </c>
      <c r="L185" s="508"/>
      <c r="M185" s="508"/>
      <c r="N185" s="507">
        <f>((DSUM('4.1_Electricitat Illes Balears'!$E$20:$J$42,"emisiones",'6.1_Resultats Illes Balears'!E$71:E185)+DSUM('4.1_Electricitat Illes Balears'!$E$50:$K$70,"emisiones",'6.1_Resultats Illes Balears'!E$71:E185))/1000)-SUM(N$72:N184)</f>
        <v>0</v>
      </c>
      <c r="O185" s="508"/>
      <c r="P185" s="508">
        <f t="shared" si="3"/>
        <v>0</v>
      </c>
      <c r="Q185" s="508"/>
      <c r="R185" s="508"/>
      <c r="S185" s="73"/>
      <c r="T185" s="73"/>
      <c r="U185" s="73"/>
    </row>
    <row r="186" spans="1:21" ht="16.5" customHeight="1" x14ac:dyDescent="0.3">
      <c r="A186" s="198"/>
      <c r="B186" s="195"/>
      <c r="C186" s="73"/>
      <c r="D186" s="73"/>
      <c r="E186" s="197" t="str">
        <f>IF(Dades!E776="","",Dades!E776)</f>
        <v/>
      </c>
      <c r="F186" s="396">
        <f>(DSUM('1_Combustibles fòssils'!$E$17:$N$39,"emissions",'6.1_Resultats Illes Balears'!E$71:E186)/1000)-SUM(F$72:F185)</f>
        <v>0</v>
      </c>
      <c r="G186" s="396">
        <f>((DSUM('1_Combustibles fòssils'!$E$47:$U$67,"emissions1",'6.1_Resultats Illes Balears'!E$71:E186)+DSUM('1_Combustibles fòssils'!$E$47:$U$67,"emissions2",'6.1_Resultats Illes Balears'!E$71:E186))/1000)-SUM(G$72:G185)</f>
        <v>0</v>
      </c>
      <c r="H186" s="396">
        <f>(DSUM('2_Fluorats'!$E$11:$P$33,"emissions",'6.1_Resultats Illes Balears'!E$71:E186)/1000)-SUM(H$72:H185)</f>
        <v>0</v>
      </c>
      <c r="I186" s="507">
        <f>(DSUM('3_Emissions processos'!$E$13:$K$35,"emissions",'6.1_Resultats Illes Balears'!E$71:E186)/1000)-SUM(I$72:I185)</f>
        <v>0</v>
      </c>
      <c r="J186" s="507"/>
      <c r="K186" s="508">
        <f t="shared" si="2"/>
        <v>0</v>
      </c>
      <c r="L186" s="508"/>
      <c r="M186" s="508"/>
      <c r="N186" s="507">
        <f>((DSUM('4.1_Electricitat Illes Balears'!$E$20:$J$42,"emisiones",'6.1_Resultats Illes Balears'!E$71:E186)+DSUM('4.1_Electricitat Illes Balears'!$E$50:$K$70,"emisiones",'6.1_Resultats Illes Balears'!E$71:E186))/1000)-SUM(N$72:N185)</f>
        <v>0</v>
      </c>
      <c r="O186" s="508"/>
      <c r="P186" s="508">
        <f t="shared" si="3"/>
        <v>0</v>
      </c>
      <c r="Q186" s="508"/>
      <c r="R186" s="508"/>
      <c r="S186" s="73"/>
      <c r="T186" s="73"/>
      <c r="U186" s="73"/>
    </row>
    <row r="187" spans="1:21" x14ac:dyDescent="0.3">
      <c r="A187" s="198"/>
      <c r="B187" s="195"/>
      <c r="C187" s="73"/>
      <c r="D187" s="73"/>
      <c r="E187" s="197" t="str">
        <f>IF(Dades!E777="","",Dades!E777)</f>
        <v/>
      </c>
      <c r="F187" s="396">
        <f>(DSUM('1_Combustibles fòssils'!$E$17:$N$39,"emissions",'6.1_Resultats Illes Balears'!E$71:E187)/1000)-SUM(F$72:F186)</f>
        <v>0</v>
      </c>
      <c r="G187" s="396">
        <f>((DSUM('1_Combustibles fòssils'!$E$47:$U$67,"emissions1",'6.1_Resultats Illes Balears'!E$71:E187)+DSUM('1_Combustibles fòssils'!$E$47:$U$67,"emissions2",'6.1_Resultats Illes Balears'!E$71:E187))/1000)-SUM(G$72:G186)</f>
        <v>0</v>
      </c>
      <c r="H187" s="396">
        <f>(DSUM('2_Fluorats'!$E$11:$P$33,"emissions",'6.1_Resultats Illes Balears'!E$71:E187)/1000)-SUM(H$72:H186)</f>
        <v>0</v>
      </c>
      <c r="I187" s="507">
        <f>(DSUM('3_Emissions processos'!$E$13:$K$35,"emissions",'6.1_Resultats Illes Balears'!E$71:E187)/1000)-SUM(I$72:I186)</f>
        <v>0</v>
      </c>
      <c r="J187" s="507"/>
      <c r="K187" s="508">
        <f t="shared" si="2"/>
        <v>0</v>
      </c>
      <c r="L187" s="508"/>
      <c r="M187" s="508"/>
      <c r="N187" s="507">
        <f>((DSUM('4.1_Electricitat Illes Balears'!$E$20:$J$42,"emisiones",'6.1_Resultats Illes Balears'!E$71:E187)+DSUM('4.1_Electricitat Illes Balears'!$E$50:$K$70,"emisiones",'6.1_Resultats Illes Balears'!E$71:E187))/1000)-SUM(N$72:N186)</f>
        <v>0</v>
      </c>
      <c r="O187" s="508"/>
      <c r="P187" s="508">
        <f t="shared" si="3"/>
        <v>0</v>
      </c>
      <c r="Q187" s="508"/>
      <c r="R187" s="508"/>
      <c r="S187" s="73"/>
      <c r="T187" s="73"/>
      <c r="U187" s="73"/>
    </row>
    <row r="188" spans="1:21" x14ac:dyDescent="0.3">
      <c r="A188" s="198"/>
      <c r="B188" s="195"/>
      <c r="C188" s="73"/>
      <c r="D188" s="73"/>
      <c r="E188" s="197" t="str">
        <f>IF(Dades!E778="","",Dades!E778)</f>
        <v/>
      </c>
      <c r="F188" s="396">
        <f>(DSUM('1_Combustibles fòssils'!$E$17:$N$39,"emissions",'6.1_Resultats Illes Balears'!E$71:E188)/1000)-SUM(F$72:F187)</f>
        <v>0</v>
      </c>
      <c r="G188" s="396">
        <f>((DSUM('1_Combustibles fòssils'!$E$47:$U$67,"emissions1",'6.1_Resultats Illes Balears'!E$71:E188)+DSUM('1_Combustibles fòssils'!$E$47:$U$67,"emissions2",'6.1_Resultats Illes Balears'!E$71:E188))/1000)-SUM(G$72:G187)</f>
        <v>0</v>
      </c>
      <c r="H188" s="396">
        <f>(DSUM('2_Fluorats'!$E$11:$P$33,"emissions",'6.1_Resultats Illes Balears'!E$71:E188)/1000)-SUM(H$72:H187)</f>
        <v>0</v>
      </c>
      <c r="I188" s="507">
        <f>(DSUM('3_Emissions processos'!$E$13:$K$35,"emissions",'6.1_Resultats Illes Balears'!E$71:E188)/1000)-SUM(I$72:I187)</f>
        <v>0</v>
      </c>
      <c r="J188" s="507"/>
      <c r="K188" s="508">
        <f t="shared" si="2"/>
        <v>0</v>
      </c>
      <c r="L188" s="508"/>
      <c r="M188" s="508"/>
      <c r="N188" s="507">
        <f>((DSUM('4.1_Electricitat Illes Balears'!$E$20:$J$42,"emisiones",'6.1_Resultats Illes Balears'!E$71:E188)+DSUM('4.1_Electricitat Illes Balears'!$E$50:$K$70,"emisiones",'6.1_Resultats Illes Balears'!E$71:E188))/1000)-SUM(N$72:N187)</f>
        <v>0</v>
      </c>
      <c r="O188" s="508"/>
      <c r="P188" s="508">
        <f t="shared" si="3"/>
        <v>0</v>
      </c>
      <c r="Q188" s="508"/>
      <c r="R188" s="508"/>
      <c r="S188" s="73"/>
      <c r="T188" s="73"/>
      <c r="U188" s="73"/>
    </row>
    <row r="189" spans="1:21" x14ac:dyDescent="0.3">
      <c r="A189" s="198"/>
      <c r="B189" s="195"/>
      <c r="C189" s="73"/>
      <c r="D189" s="73"/>
      <c r="E189" s="197" t="str">
        <f>IF(Dades!E779="","",Dades!E779)</f>
        <v/>
      </c>
      <c r="F189" s="396">
        <f>(DSUM('1_Combustibles fòssils'!$E$17:$N$39,"emissions",'6.1_Resultats Illes Balears'!E$71:E189)/1000)-SUM(F$72:F188)</f>
        <v>0</v>
      </c>
      <c r="G189" s="396">
        <f>((DSUM('1_Combustibles fòssils'!$E$47:$U$67,"emissions1",'6.1_Resultats Illes Balears'!E$71:E189)+DSUM('1_Combustibles fòssils'!$E$47:$U$67,"emissions2",'6.1_Resultats Illes Balears'!E$71:E189))/1000)-SUM(G$72:G188)</f>
        <v>0</v>
      </c>
      <c r="H189" s="396">
        <f>(DSUM('2_Fluorats'!$E$11:$P$33,"emissions",'6.1_Resultats Illes Balears'!E$71:E189)/1000)-SUM(H$72:H188)</f>
        <v>0</v>
      </c>
      <c r="I189" s="507">
        <f>(DSUM('3_Emissions processos'!$E$13:$K$35,"emissions",'6.1_Resultats Illes Balears'!E$71:E189)/1000)-SUM(I$72:I188)</f>
        <v>0</v>
      </c>
      <c r="J189" s="507"/>
      <c r="K189" s="508">
        <f t="shared" si="2"/>
        <v>0</v>
      </c>
      <c r="L189" s="508"/>
      <c r="M189" s="508"/>
      <c r="N189" s="507">
        <f>((DSUM('4.1_Electricitat Illes Balears'!$E$20:$J$42,"emisiones",'6.1_Resultats Illes Balears'!E$71:E189)+DSUM('4.1_Electricitat Illes Balears'!$E$50:$K$70,"emisiones",'6.1_Resultats Illes Balears'!E$71:E189))/1000)-SUM(N$72:N188)</f>
        <v>0</v>
      </c>
      <c r="O189" s="508"/>
      <c r="P189" s="508">
        <f t="shared" si="3"/>
        <v>0</v>
      </c>
      <c r="Q189" s="508"/>
      <c r="R189" s="508"/>
      <c r="S189" s="73"/>
      <c r="T189" s="73"/>
      <c r="U189" s="73"/>
    </row>
    <row r="190" spans="1:21" x14ac:dyDescent="0.3">
      <c r="A190" s="198"/>
      <c r="B190" s="195"/>
      <c r="C190" s="73"/>
      <c r="D190" s="73"/>
      <c r="E190" s="197" t="str">
        <f>IF(Dades!E780="","",Dades!E780)</f>
        <v/>
      </c>
      <c r="F190" s="396">
        <f>(DSUM('1_Combustibles fòssils'!$E$17:$N$39,"emissions",'6.1_Resultats Illes Balears'!E$71:E190)/1000)-SUM(F$72:F189)</f>
        <v>0</v>
      </c>
      <c r="G190" s="396">
        <f>((DSUM('1_Combustibles fòssils'!$E$47:$U$67,"emissions1",'6.1_Resultats Illes Balears'!E$71:E190)+DSUM('1_Combustibles fòssils'!$E$47:$U$67,"emissions2",'6.1_Resultats Illes Balears'!E$71:E190))/1000)-SUM(G$72:G189)</f>
        <v>0</v>
      </c>
      <c r="H190" s="396">
        <f>(DSUM('2_Fluorats'!$E$11:$P$33,"emissions",'6.1_Resultats Illes Balears'!E$71:E190)/1000)-SUM(H$72:H189)</f>
        <v>0</v>
      </c>
      <c r="I190" s="507">
        <f>(DSUM('3_Emissions processos'!$E$13:$K$35,"emissions",'6.1_Resultats Illes Balears'!E$71:E190)/1000)-SUM(I$72:I189)</f>
        <v>0</v>
      </c>
      <c r="J190" s="507"/>
      <c r="K190" s="508">
        <f t="shared" si="2"/>
        <v>0</v>
      </c>
      <c r="L190" s="508"/>
      <c r="M190" s="508"/>
      <c r="N190" s="507">
        <f>((DSUM('4.1_Electricitat Illes Balears'!$E$20:$J$42,"emisiones",'6.1_Resultats Illes Balears'!E$71:E190)+DSUM('4.1_Electricitat Illes Balears'!$E$50:$K$70,"emisiones",'6.1_Resultats Illes Balears'!E$71:E190))/1000)-SUM(N$72:N189)</f>
        <v>0</v>
      </c>
      <c r="O190" s="508"/>
      <c r="P190" s="508">
        <f t="shared" si="3"/>
        <v>0</v>
      </c>
      <c r="Q190" s="508"/>
      <c r="R190" s="508"/>
      <c r="S190" s="73"/>
      <c r="T190" s="73"/>
      <c r="U190" s="73"/>
    </row>
    <row r="191" spans="1:21" x14ac:dyDescent="0.3">
      <c r="A191" s="198"/>
      <c r="C191" s="73"/>
      <c r="D191" s="73"/>
      <c r="E191" s="197" t="str">
        <f>IF(Dades!E781="","",Dades!E781)</f>
        <v/>
      </c>
      <c r="F191" s="396">
        <f>(DSUM('1_Combustibles fòssils'!$E$17:$N$39,"emissions",'6.1_Resultats Illes Balears'!E$71:E191)/1000)-SUM(F$72:F190)</f>
        <v>0</v>
      </c>
      <c r="G191" s="396">
        <f>((DSUM('1_Combustibles fòssils'!$E$47:$U$67,"emissions1",'6.1_Resultats Illes Balears'!E$71:E191)+DSUM('1_Combustibles fòssils'!$E$47:$U$67,"emissions2",'6.1_Resultats Illes Balears'!E$71:E191))/1000)-SUM(G$72:G190)</f>
        <v>0</v>
      </c>
      <c r="H191" s="396">
        <f>(DSUM('2_Fluorats'!$E$11:$P$33,"emissions",'6.1_Resultats Illes Balears'!E$71:E191)/1000)-SUM(H$72:H190)</f>
        <v>0</v>
      </c>
      <c r="I191" s="507">
        <f>(DSUM('3_Emissions processos'!$E$13:$K$35,"emissions",'6.1_Resultats Illes Balears'!E$71:E191)/1000)-SUM(I$72:I190)</f>
        <v>0</v>
      </c>
      <c r="J191" s="507"/>
      <c r="K191" s="508">
        <f t="shared" si="2"/>
        <v>0</v>
      </c>
      <c r="L191" s="508"/>
      <c r="M191" s="508"/>
      <c r="N191" s="507">
        <f>((DSUM('4.1_Electricitat Illes Balears'!$E$20:$J$42,"emisiones",'6.1_Resultats Illes Balears'!E$71:E191)+DSUM('4.1_Electricitat Illes Balears'!$E$50:$K$70,"emisiones",'6.1_Resultats Illes Balears'!E$71:E191))/1000)-SUM(N$72:N190)</f>
        <v>0</v>
      </c>
      <c r="O191" s="508"/>
      <c r="P191" s="508">
        <f t="shared" si="3"/>
        <v>0</v>
      </c>
      <c r="Q191" s="508"/>
      <c r="R191" s="508"/>
      <c r="S191" s="73"/>
      <c r="T191" s="73"/>
      <c r="U191" s="73"/>
    </row>
    <row r="192" spans="1:21" x14ac:dyDescent="0.3">
      <c r="A192" s="198"/>
      <c r="C192" s="73"/>
      <c r="D192" s="73"/>
      <c r="E192" s="197" t="str">
        <f>IF(Dades!E782="","",Dades!E782)</f>
        <v/>
      </c>
      <c r="F192" s="396">
        <f>(DSUM('1_Combustibles fòssils'!$E$17:$N$39,"emissions",'6.1_Resultats Illes Balears'!E$71:E192)/1000)-SUM(F$72:F191)</f>
        <v>0</v>
      </c>
      <c r="G192" s="396">
        <f>((DSUM('1_Combustibles fòssils'!$E$47:$U$67,"emissions1",'6.1_Resultats Illes Balears'!E$71:E192)+DSUM('1_Combustibles fòssils'!$E$47:$U$67,"emissions2",'6.1_Resultats Illes Balears'!E$71:E192))/1000)-SUM(G$72:G191)</f>
        <v>0</v>
      </c>
      <c r="H192" s="396">
        <f>(DSUM('2_Fluorats'!$E$11:$P$33,"emissions",'6.1_Resultats Illes Balears'!E$71:E192)/1000)-SUM(H$72:H191)</f>
        <v>0</v>
      </c>
      <c r="I192" s="507">
        <f>(DSUM('3_Emissions processos'!$E$13:$K$35,"emissions",'6.1_Resultats Illes Balears'!E$71:E192)/1000)-SUM(I$72:I191)</f>
        <v>0</v>
      </c>
      <c r="J192" s="507"/>
      <c r="K192" s="508">
        <f t="shared" si="2"/>
        <v>0</v>
      </c>
      <c r="L192" s="508"/>
      <c r="M192" s="508"/>
      <c r="N192" s="507">
        <f>((DSUM('4.1_Electricitat Illes Balears'!$E$20:$J$42,"emisiones",'6.1_Resultats Illes Balears'!E$71:E192)+DSUM('4.1_Electricitat Illes Balears'!$E$50:$K$70,"emisiones",'6.1_Resultats Illes Balears'!E$71:E192))/1000)-SUM(N$72:N191)</f>
        <v>0</v>
      </c>
      <c r="O192" s="508"/>
      <c r="P192" s="508">
        <f t="shared" si="3"/>
        <v>0</v>
      </c>
      <c r="Q192" s="508"/>
      <c r="R192" s="508"/>
      <c r="S192" s="73"/>
      <c r="T192" s="73"/>
      <c r="U192" s="73"/>
    </row>
    <row r="193" spans="1:18" x14ac:dyDescent="0.3">
      <c r="A193" s="198"/>
      <c r="E193" s="197" t="str">
        <f>IF(Dades!E783="","",Dades!E783)</f>
        <v/>
      </c>
      <c r="F193" s="396">
        <f>(DSUM('1_Combustibles fòssils'!$E$17:$N$39,"emissions",'6.1_Resultats Illes Balears'!E$71:E193)/1000)-SUM(F$72:F192)</f>
        <v>0</v>
      </c>
      <c r="G193" s="396">
        <f>((DSUM('1_Combustibles fòssils'!$E$47:$U$67,"emissions1",'6.1_Resultats Illes Balears'!E$71:E193)+DSUM('1_Combustibles fòssils'!$E$47:$U$67,"emissions2",'6.1_Resultats Illes Balears'!E$71:E193))/1000)-SUM(G$72:G192)</f>
        <v>0</v>
      </c>
      <c r="H193" s="396">
        <f>(DSUM('2_Fluorats'!$E$11:$P$33,"emissions",'6.1_Resultats Illes Balears'!E$71:E193)/1000)-SUM(H$72:H192)</f>
        <v>0</v>
      </c>
      <c r="I193" s="507">
        <f>(DSUM('3_Emissions processos'!$E$13:$K$35,"emissions",'6.1_Resultats Illes Balears'!E$71:E193)/1000)-SUM(I$72:I192)</f>
        <v>0</v>
      </c>
      <c r="J193" s="507"/>
      <c r="K193" s="508">
        <f t="shared" si="2"/>
        <v>0</v>
      </c>
      <c r="L193" s="508"/>
      <c r="M193" s="508"/>
      <c r="N193" s="507">
        <f>((DSUM('4.1_Electricitat Illes Balears'!$E$20:$J$42,"emisiones",'6.1_Resultats Illes Balears'!E$71:E193)+DSUM('4.1_Electricitat Illes Balears'!$E$50:$K$70,"emisiones",'6.1_Resultats Illes Balears'!E$71:E193))/1000)-SUM(N$72:N192)</f>
        <v>0</v>
      </c>
      <c r="O193" s="508"/>
      <c r="P193" s="508">
        <f t="shared" si="3"/>
        <v>0</v>
      </c>
      <c r="Q193" s="508"/>
      <c r="R193" s="508"/>
    </row>
    <row r="194" spans="1:18" x14ac:dyDescent="0.3">
      <c r="A194" s="198"/>
      <c r="E194" s="197" t="str">
        <f>IF(Dades!E784="","",Dades!E784)</f>
        <v/>
      </c>
      <c r="F194" s="396">
        <f>(DSUM('1_Combustibles fòssils'!$E$17:$N$39,"emissions",'6.1_Resultats Illes Balears'!E$71:E194)/1000)-SUM(F$72:F193)</f>
        <v>0</v>
      </c>
      <c r="G194" s="396">
        <f>((DSUM('1_Combustibles fòssils'!$E$47:$U$67,"emissions1",'6.1_Resultats Illes Balears'!E$71:E194)+DSUM('1_Combustibles fòssils'!$E$47:$U$67,"emissions2",'6.1_Resultats Illes Balears'!E$71:E194))/1000)-SUM(G$72:G193)</f>
        <v>0</v>
      </c>
      <c r="H194" s="396">
        <f>(DSUM('2_Fluorats'!$E$11:$P$33,"emissions",'6.1_Resultats Illes Balears'!E$71:E194)/1000)-SUM(H$72:H193)</f>
        <v>0</v>
      </c>
      <c r="I194" s="507">
        <f>(DSUM('3_Emissions processos'!$E$13:$K$35,"emissions",'6.1_Resultats Illes Balears'!E$71:E194)/1000)-SUM(I$72:I193)</f>
        <v>0</v>
      </c>
      <c r="J194" s="507"/>
      <c r="K194" s="508">
        <f t="shared" si="2"/>
        <v>0</v>
      </c>
      <c r="L194" s="508"/>
      <c r="M194" s="508"/>
      <c r="N194" s="507">
        <f>((DSUM('4.1_Electricitat Illes Balears'!$E$20:$J$42,"emisiones",'6.1_Resultats Illes Balears'!E$71:E194)+DSUM('4.1_Electricitat Illes Balears'!$E$50:$K$70,"emisiones",'6.1_Resultats Illes Balears'!E$71:E194))/1000)-SUM(N$72:N193)</f>
        <v>0</v>
      </c>
      <c r="O194" s="508"/>
      <c r="P194" s="508">
        <f t="shared" si="3"/>
        <v>0</v>
      </c>
      <c r="Q194" s="508"/>
      <c r="R194" s="508"/>
    </row>
    <row r="195" spans="1:18" x14ac:dyDescent="0.3">
      <c r="A195" s="198"/>
      <c r="E195" s="197" t="str">
        <f>IF(Dades!E785="","",Dades!E785)</f>
        <v/>
      </c>
      <c r="F195" s="396">
        <f>(DSUM('1_Combustibles fòssils'!$E$17:$N$39,"emissions",'6.1_Resultats Illes Balears'!E$71:E195)/1000)-SUM(F$72:F194)</f>
        <v>0</v>
      </c>
      <c r="G195" s="396">
        <f>((DSUM('1_Combustibles fòssils'!$E$47:$U$67,"emissions1",'6.1_Resultats Illes Balears'!E$71:E195)+DSUM('1_Combustibles fòssils'!$E$47:$U$67,"emissions2",'6.1_Resultats Illes Balears'!E$71:E195))/1000)-SUM(G$72:G194)</f>
        <v>0</v>
      </c>
      <c r="H195" s="396">
        <f>(DSUM('2_Fluorats'!$E$11:$P$33,"emissions",'6.1_Resultats Illes Balears'!E$71:E195)/1000)-SUM(H$72:H194)</f>
        <v>0</v>
      </c>
      <c r="I195" s="507">
        <f>(DSUM('3_Emissions processos'!$E$13:$K$35,"emissions",'6.1_Resultats Illes Balears'!E$71:E195)/1000)-SUM(I$72:I194)</f>
        <v>0</v>
      </c>
      <c r="J195" s="507"/>
      <c r="K195" s="508">
        <f t="shared" si="2"/>
        <v>0</v>
      </c>
      <c r="L195" s="508"/>
      <c r="M195" s="508"/>
      <c r="N195" s="507">
        <f>((DSUM('4.1_Electricitat Illes Balears'!$E$20:$J$42,"emisiones",'6.1_Resultats Illes Balears'!E$71:E195)+DSUM('4.1_Electricitat Illes Balears'!$E$50:$K$70,"emisiones",'6.1_Resultats Illes Balears'!E$71:E195))/1000)-SUM(N$72:N194)</f>
        <v>0</v>
      </c>
      <c r="O195" s="508"/>
      <c r="P195" s="508">
        <f t="shared" si="3"/>
        <v>0</v>
      </c>
      <c r="Q195" s="508"/>
      <c r="R195" s="508"/>
    </row>
    <row r="196" spans="1:18" x14ac:dyDescent="0.3">
      <c r="A196" s="198"/>
      <c r="E196" s="197" t="str">
        <f>IF(Dades!E786="","",Dades!E786)</f>
        <v/>
      </c>
      <c r="F196" s="396">
        <f>(DSUM('1_Combustibles fòssils'!$E$17:$N$39,"emissions",'6.1_Resultats Illes Balears'!E$71:E196)/1000)-SUM(F$72:F195)</f>
        <v>0</v>
      </c>
      <c r="G196" s="396">
        <f>((DSUM('1_Combustibles fòssils'!$E$47:$U$67,"emissions1",'6.1_Resultats Illes Balears'!E$71:E196)+DSUM('1_Combustibles fòssils'!$E$47:$U$67,"emissions2",'6.1_Resultats Illes Balears'!E$71:E196))/1000)-SUM(G$72:G195)</f>
        <v>0</v>
      </c>
      <c r="H196" s="396">
        <f>(DSUM('2_Fluorats'!$E$11:$P$33,"emissions",'6.1_Resultats Illes Balears'!E$71:E196)/1000)-SUM(H$72:H195)</f>
        <v>0</v>
      </c>
      <c r="I196" s="507">
        <f>(DSUM('3_Emissions processos'!$E$13:$K$35,"emissions",'6.1_Resultats Illes Balears'!E$71:E196)/1000)-SUM(I$72:I195)</f>
        <v>0</v>
      </c>
      <c r="J196" s="507"/>
      <c r="K196" s="508">
        <f t="shared" si="2"/>
        <v>0</v>
      </c>
      <c r="L196" s="508"/>
      <c r="M196" s="508"/>
      <c r="N196" s="507">
        <f>((DSUM('4.1_Electricitat Illes Balears'!$E$20:$J$42,"emisiones",'6.1_Resultats Illes Balears'!E$71:E196)+DSUM('4.1_Electricitat Illes Balears'!$E$50:$K$70,"emisiones",'6.1_Resultats Illes Balears'!E$71:E196))/1000)-SUM(N$72:N195)</f>
        <v>0</v>
      </c>
      <c r="O196" s="508"/>
      <c r="P196" s="508">
        <f t="shared" si="3"/>
        <v>0</v>
      </c>
      <c r="Q196" s="508"/>
      <c r="R196" s="508"/>
    </row>
    <row r="197" spans="1:18" x14ac:dyDescent="0.3">
      <c r="A197" s="198"/>
      <c r="E197" s="197" t="str">
        <f>IF(Dades!E787="","",Dades!E787)</f>
        <v/>
      </c>
      <c r="F197" s="396">
        <f>(DSUM('1_Combustibles fòssils'!$E$17:$N$39,"emissions",'6.1_Resultats Illes Balears'!E$71:E197)/1000)-SUM(F$72:F196)</f>
        <v>0</v>
      </c>
      <c r="G197" s="396">
        <f>((DSUM('1_Combustibles fòssils'!$E$47:$U$67,"emissions1",'6.1_Resultats Illes Balears'!E$71:E197)+DSUM('1_Combustibles fòssils'!$E$47:$U$67,"emissions2",'6.1_Resultats Illes Balears'!E$71:E197))/1000)-SUM(G$72:G196)</f>
        <v>0</v>
      </c>
      <c r="H197" s="396">
        <f>(DSUM('2_Fluorats'!$E$11:$P$33,"emissions",'6.1_Resultats Illes Balears'!E$71:E197)/1000)-SUM(H$72:H196)</f>
        <v>0</v>
      </c>
      <c r="I197" s="507">
        <f>(DSUM('3_Emissions processos'!$E$13:$K$35,"emissions",'6.1_Resultats Illes Balears'!E$71:E197)/1000)-SUM(I$72:I196)</f>
        <v>0</v>
      </c>
      <c r="J197" s="507"/>
      <c r="K197" s="508">
        <f t="shared" si="2"/>
        <v>0</v>
      </c>
      <c r="L197" s="508"/>
      <c r="M197" s="508"/>
      <c r="N197" s="507">
        <f>((DSUM('4.1_Electricitat Illes Balears'!$E$20:$J$42,"emisiones",'6.1_Resultats Illes Balears'!E$71:E197)+DSUM('4.1_Electricitat Illes Balears'!$E$50:$K$70,"emisiones",'6.1_Resultats Illes Balears'!E$71:E197))/1000)-SUM(N$72:N196)</f>
        <v>0</v>
      </c>
      <c r="O197" s="508"/>
      <c r="P197" s="508">
        <f t="shared" si="3"/>
        <v>0</v>
      </c>
      <c r="Q197" s="508"/>
      <c r="R197" s="508"/>
    </row>
    <row r="198" spans="1:18" x14ac:dyDescent="0.3">
      <c r="A198" s="198"/>
      <c r="E198" s="197" t="str">
        <f>IF(Dades!E788="","",Dades!E788)</f>
        <v/>
      </c>
      <c r="F198" s="396">
        <f>(DSUM('1_Combustibles fòssils'!$E$17:$N$39,"emissions",'6.1_Resultats Illes Balears'!E$71:E198)/1000)-SUM(F$72:F197)</f>
        <v>0</v>
      </c>
      <c r="G198" s="396">
        <f>((DSUM('1_Combustibles fòssils'!$E$47:$U$67,"emissions1",'6.1_Resultats Illes Balears'!E$71:E198)+DSUM('1_Combustibles fòssils'!$E$47:$U$67,"emissions2",'6.1_Resultats Illes Balears'!E$71:E198))/1000)-SUM(G$72:G197)</f>
        <v>0</v>
      </c>
      <c r="H198" s="396">
        <f>(DSUM('2_Fluorats'!$E$11:$P$33,"emissions",'6.1_Resultats Illes Balears'!E$71:E198)/1000)-SUM(H$72:H197)</f>
        <v>0</v>
      </c>
      <c r="I198" s="507">
        <f>(DSUM('3_Emissions processos'!$E$13:$K$35,"emissions",'6.1_Resultats Illes Balears'!E$71:E198)/1000)-SUM(I$72:I197)</f>
        <v>0</v>
      </c>
      <c r="J198" s="507"/>
      <c r="K198" s="508">
        <f t="shared" si="2"/>
        <v>0</v>
      </c>
      <c r="L198" s="508"/>
      <c r="M198" s="508"/>
      <c r="N198" s="507">
        <f>((DSUM('4.1_Electricitat Illes Balears'!$E$20:$J$42,"emisiones",'6.1_Resultats Illes Balears'!E$71:E198)+DSUM('4.1_Electricitat Illes Balears'!$E$50:$K$70,"emisiones",'6.1_Resultats Illes Balears'!E$71:E198))/1000)-SUM(N$72:N197)</f>
        <v>0</v>
      </c>
      <c r="O198" s="508"/>
      <c r="P198" s="508">
        <f t="shared" si="3"/>
        <v>0</v>
      </c>
      <c r="Q198" s="508"/>
      <c r="R198" s="508"/>
    </row>
    <row r="199" spans="1:18" x14ac:dyDescent="0.3">
      <c r="A199" s="198"/>
      <c r="E199" s="197" t="str">
        <f>IF(Dades!E789="","",Dades!E789)</f>
        <v/>
      </c>
      <c r="F199" s="396">
        <f>(DSUM('1_Combustibles fòssils'!$E$17:$N$39,"emissions",'6.1_Resultats Illes Balears'!E$71:E199)/1000)-SUM(F$72:F198)</f>
        <v>0</v>
      </c>
      <c r="G199" s="396">
        <f>((DSUM('1_Combustibles fòssils'!$E$47:$U$67,"emissions1",'6.1_Resultats Illes Balears'!E$71:E199)+DSUM('1_Combustibles fòssils'!$E$47:$U$67,"emissions2",'6.1_Resultats Illes Balears'!E$71:E199))/1000)-SUM(G$72:G198)</f>
        <v>0</v>
      </c>
      <c r="H199" s="396">
        <f>(DSUM('2_Fluorats'!$E$11:$P$33,"emissions",'6.1_Resultats Illes Balears'!E$71:E199)/1000)-SUM(H$72:H198)</f>
        <v>0</v>
      </c>
      <c r="I199" s="507">
        <f>(DSUM('3_Emissions processos'!$E$13:$K$35,"emissions",'6.1_Resultats Illes Balears'!E$71:E199)/1000)-SUM(I$72:I198)</f>
        <v>0</v>
      </c>
      <c r="J199" s="507"/>
      <c r="K199" s="508">
        <f t="shared" si="2"/>
        <v>0</v>
      </c>
      <c r="L199" s="508"/>
      <c r="M199" s="508"/>
      <c r="N199" s="507">
        <f>((DSUM('4.1_Electricitat Illes Balears'!$E$20:$J$42,"emisiones",'6.1_Resultats Illes Balears'!E$71:E199)+DSUM('4.1_Electricitat Illes Balears'!$E$50:$K$70,"emisiones",'6.1_Resultats Illes Balears'!E$71:E199))/1000)-SUM(N$72:N198)</f>
        <v>0</v>
      </c>
      <c r="O199" s="508"/>
      <c r="P199" s="508">
        <f t="shared" si="3"/>
        <v>0</v>
      </c>
      <c r="Q199" s="508"/>
      <c r="R199" s="508"/>
    </row>
    <row r="200" spans="1:18" x14ac:dyDescent="0.3">
      <c r="A200" s="198"/>
      <c r="E200" s="197" t="str">
        <f>IF(Dades!E790="","",Dades!E790)</f>
        <v/>
      </c>
      <c r="F200" s="396">
        <f>(DSUM('1_Combustibles fòssils'!$E$17:$N$39,"emissions",'6.1_Resultats Illes Balears'!E$71:E200)/1000)-SUM(F$72:F199)</f>
        <v>0</v>
      </c>
      <c r="G200" s="396">
        <f>((DSUM('1_Combustibles fòssils'!$E$47:$U$67,"emissions1",'6.1_Resultats Illes Balears'!E$71:E200)+DSUM('1_Combustibles fòssils'!$E$47:$U$67,"emissions2",'6.1_Resultats Illes Balears'!E$71:E200))/1000)-SUM(G$72:G199)</f>
        <v>0</v>
      </c>
      <c r="H200" s="396">
        <f>(DSUM('2_Fluorats'!$E$11:$P$33,"emissions",'6.1_Resultats Illes Balears'!E$71:E200)/1000)-SUM(H$72:H199)</f>
        <v>0</v>
      </c>
      <c r="I200" s="507">
        <f>(DSUM('3_Emissions processos'!$E$13:$K$35,"emissions",'6.1_Resultats Illes Balears'!E$71:E200)/1000)-SUM(I$72:I199)</f>
        <v>0</v>
      </c>
      <c r="J200" s="507"/>
      <c r="K200" s="508">
        <f t="shared" si="2"/>
        <v>0</v>
      </c>
      <c r="L200" s="508"/>
      <c r="M200" s="508"/>
      <c r="N200" s="507">
        <f>((DSUM('4.1_Electricitat Illes Balears'!$E$20:$J$42,"emisiones",'6.1_Resultats Illes Balears'!E$71:E200)+DSUM('4.1_Electricitat Illes Balears'!$E$50:$K$70,"emisiones",'6.1_Resultats Illes Balears'!E$71:E200))/1000)-SUM(N$72:N199)</f>
        <v>0</v>
      </c>
      <c r="O200" s="508"/>
      <c r="P200" s="508">
        <f t="shared" si="3"/>
        <v>0</v>
      </c>
      <c r="Q200" s="508"/>
      <c r="R200" s="508"/>
    </row>
    <row r="201" spans="1:18" x14ac:dyDescent="0.3">
      <c r="A201" s="198"/>
      <c r="E201" s="197" t="str">
        <f>IF(Dades!E791="","",Dades!E791)</f>
        <v/>
      </c>
      <c r="F201" s="396">
        <f>(DSUM('1_Combustibles fòssils'!$E$17:$N$39,"emissions",'6.1_Resultats Illes Balears'!E$71:E201)/1000)-SUM(F$72:F200)</f>
        <v>0</v>
      </c>
      <c r="G201" s="396">
        <f>((DSUM('1_Combustibles fòssils'!$E$47:$U$67,"emissions1",'6.1_Resultats Illes Balears'!E$71:E201)+DSUM('1_Combustibles fòssils'!$E$47:$U$67,"emissions2",'6.1_Resultats Illes Balears'!E$71:E201))/1000)-SUM(G$72:G200)</f>
        <v>0</v>
      </c>
      <c r="H201" s="396">
        <f>(DSUM('2_Fluorats'!$E$11:$P$33,"emissions",'6.1_Resultats Illes Balears'!E$71:E201)/1000)-SUM(H$72:H200)</f>
        <v>0</v>
      </c>
      <c r="I201" s="507">
        <f>(DSUM('3_Emissions processos'!$E$13:$K$35,"emissions",'6.1_Resultats Illes Balears'!E$71:E201)/1000)-SUM(I$72:I200)</f>
        <v>0</v>
      </c>
      <c r="J201" s="507"/>
      <c r="K201" s="508">
        <f t="shared" si="2"/>
        <v>0</v>
      </c>
      <c r="L201" s="508"/>
      <c r="M201" s="508"/>
      <c r="N201" s="507">
        <f>((DSUM('4.1_Electricitat Illes Balears'!$E$20:$J$42,"emisiones",'6.1_Resultats Illes Balears'!E$71:E201)+DSUM('4.1_Electricitat Illes Balears'!$E$50:$K$70,"emisiones",'6.1_Resultats Illes Balears'!E$71:E201))/1000)-SUM(N$72:N200)</f>
        <v>0</v>
      </c>
      <c r="O201" s="508"/>
      <c r="P201" s="508">
        <f t="shared" si="3"/>
        <v>0</v>
      </c>
      <c r="Q201" s="508"/>
      <c r="R201" s="508"/>
    </row>
    <row r="202" spans="1:18" x14ac:dyDescent="0.3">
      <c r="A202" s="198"/>
      <c r="E202" s="197" t="str">
        <f>IF(Dades!E792="","",Dades!E792)</f>
        <v/>
      </c>
      <c r="F202" s="396">
        <f>(DSUM('1_Combustibles fòssils'!$E$17:$N$39,"emissions",'6.1_Resultats Illes Balears'!E$71:E202)/1000)-SUM(F$72:F201)</f>
        <v>0</v>
      </c>
      <c r="G202" s="396">
        <f>((DSUM('1_Combustibles fòssils'!$E$47:$U$67,"emissions1",'6.1_Resultats Illes Balears'!E$71:E202)+DSUM('1_Combustibles fòssils'!$E$47:$U$67,"emissions2",'6.1_Resultats Illes Balears'!E$71:E202))/1000)-SUM(G$72:G201)</f>
        <v>0</v>
      </c>
      <c r="H202" s="396">
        <f>(DSUM('2_Fluorats'!$E$11:$P$33,"emissions",'6.1_Resultats Illes Balears'!E$71:E202)/1000)-SUM(H$72:H201)</f>
        <v>0</v>
      </c>
      <c r="I202" s="507">
        <f>(DSUM('3_Emissions processos'!$E$13:$K$35,"emissions",'6.1_Resultats Illes Balears'!E$71:E202)/1000)-SUM(I$72:I201)</f>
        <v>0</v>
      </c>
      <c r="J202" s="507"/>
      <c r="K202" s="508">
        <f t="shared" ref="K202:K265" si="4">SUM(F202:J202)</f>
        <v>0</v>
      </c>
      <c r="L202" s="508"/>
      <c r="M202" s="508"/>
      <c r="N202" s="507">
        <f>((DSUM('4.1_Electricitat Illes Balears'!$E$20:$J$42,"emisiones",'6.1_Resultats Illes Balears'!E$71:E202)+DSUM('4.1_Electricitat Illes Balears'!$E$50:$K$70,"emisiones",'6.1_Resultats Illes Balears'!E$71:E202))/1000)-SUM(N$72:N201)</f>
        <v>0</v>
      </c>
      <c r="O202" s="508"/>
      <c r="P202" s="508">
        <f t="shared" ref="P202:P265" si="5">K202+N202</f>
        <v>0</v>
      </c>
      <c r="Q202" s="508"/>
      <c r="R202" s="508"/>
    </row>
    <row r="203" spans="1:18" x14ac:dyDescent="0.3">
      <c r="A203" s="198"/>
      <c r="E203" s="197" t="str">
        <f>IF(Dades!E793="","",Dades!E793)</f>
        <v/>
      </c>
      <c r="F203" s="396">
        <f>(DSUM('1_Combustibles fòssils'!$E$17:$N$39,"emissions",'6.1_Resultats Illes Balears'!E$71:E203)/1000)-SUM(F$72:F202)</f>
        <v>0</v>
      </c>
      <c r="G203" s="396">
        <f>((DSUM('1_Combustibles fòssils'!$E$47:$U$67,"emissions1",'6.1_Resultats Illes Balears'!E$71:E203)+DSUM('1_Combustibles fòssils'!$E$47:$U$67,"emissions2",'6.1_Resultats Illes Balears'!E$71:E203))/1000)-SUM(G$72:G202)</f>
        <v>0</v>
      </c>
      <c r="H203" s="396">
        <f>(DSUM('2_Fluorats'!$E$11:$P$33,"emissions",'6.1_Resultats Illes Balears'!E$71:E203)/1000)-SUM(H$72:H202)</f>
        <v>0</v>
      </c>
      <c r="I203" s="507">
        <f>(DSUM('3_Emissions processos'!$E$13:$K$35,"emissions",'6.1_Resultats Illes Balears'!E$71:E203)/1000)-SUM(I$72:I202)</f>
        <v>0</v>
      </c>
      <c r="J203" s="507"/>
      <c r="K203" s="508">
        <f t="shared" si="4"/>
        <v>0</v>
      </c>
      <c r="L203" s="508"/>
      <c r="M203" s="508"/>
      <c r="N203" s="507">
        <f>((DSUM('4.1_Electricitat Illes Balears'!$E$20:$J$42,"emisiones",'6.1_Resultats Illes Balears'!E$71:E203)+DSUM('4.1_Electricitat Illes Balears'!$E$50:$K$70,"emisiones",'6.1_Resultats Illes Balears'!E$71:E203))/1000)-SUM(N$72:N202)</f>
        <v>0</v>
      </c>
      <c r="O203" s="508"/>
      <c r="P203" s="508">
        <f t="shared" si="5"/>
        <v>0</v>
      </c>
      <c r="Q203" s="508"/>
      <c r="R203" s="508"/>
    </row>
    <row r="204" spans="1:18" x14ac:dyDescent="0.3">
      <c r="A204" s="198"/>
      <c r="E204" s="197" t="str">
        <f>IF(Dades!E794="","",Dades!E794)</f>
        <v/>
      </c>
      <c r="F204" s="396">
        <f>(DSUM('1_Combustibles fòssils'!$E$17:$N$39,"emissions",'6.1_Resultats Illes Balears'!E$71:E204)/1000)-SUM(F$72:F203)</f>
        <v>0</v>
      </c>
      <c r="G204" s="396">
        <f>((DSUM('1_Combustibles fòssils'!$E$47:$U$67,"emissions1",'6.1_Resultats Illes Balears'!E$71:E204)+DSUM('1_Combustibles fòssils'!$E$47:$U$67,"emissions2",'6.1_Resultats Illes Balears'!E$71:E204))/1000)-SUM(G$72:G203)</f>
        <v>0</v>
      </c>
      <c r="H204" s="396">
        <f>(DSUM('2_Fluorats'!$E$11:$P$33,"emissions",'6.1_Resultats Illes Balears'!E$71:E204)/1000)-SUM(H$72:H203)</f>
        <v>0</v>
      </c>
      <c r="I204" s="507">
        <f>(DSUM('3_Emissions processos'!$E$13:$K$35,"emissions",'6.1_Resultats Illes Balears'!E$71:E204)/1000)-SUM(I$72:I203)</f>
        <v>0</v>
      </c>
      <c r="J204" s="507"/>
      <c r="K204" s="508">
        <f t="shared" si="4"/>
        <v>0</v>
      </c>
      <c r="L204" s="508"/>
      <c r="M204" s="508"/>
      <c r="N204" s="507">
        <f>((DSUM('4.1_Electricitat Illes Balears'!$E$20:$J$42,"emisiones",'6.1_Resultats Illes Balears'!E$71:E204)+DSUM('4.1_Electricitat Illes Balears'!$E$50:$K$70,"emisiones",'6.1_Resultats Illes Balears'!E$71:E204))/1000)-SUM(N$72:N203)</f>
        <v>0</v>
      </c>
      <c r="O204" s="508"/>
      <c r="P204" s="508">
        <f t="shared" si="5"/>
        <v>0</v>
      </c>
      <c r="Q204" s="508"/>
      <c r="R204" s="508"/>
    </row>
    <row r="205" spans="1:18" x14ac:dyDescent="0.3">
      <c r="A205" s="198"/>
      <c r="E205" s="197" t="str">
        <f>IF(Dades!E795="","",Dades!E795)</f>
        <v/>
      </c>
      <c r="F205" s="396">
        <f>(DSUM('1_Combustibles fòssils'!$E$17:$N$39,"emissions",'6.1_Resultats Illes Balears'!E$71:E205)/1000)-SUM(F$72:F204)</f>
        <v>0</v>
      </c>
      <c r="G205" s="396">
        <f>((DSUM('1_Combustibles fòssils'!$E$47:$U$67,"emissions1",'6.1_Resultats Illes Balears'!E$71:E205)+DSUM('1_Combustibles fòssils'!$E$47:$U$67,"emissions2",'6.1_Resultats Illes Balears'!E$71:E205))/1000)-SUM(G$72:G204)</f>
        <v>0</v>
      </c>
      <c r="H205" s="396">
        <f>(DSUM('2_Fluorats'!$E$11:$P$33,"emissions",'6.1_Resultats Illes Balears'!E$71:E205)/1000)-SUM(H$72:H204)</f>
        <v>0</v>
      </c>
      <c r="I205" s="507">
        <f>(DSUM('3_Emissions processos'!$E$13:$K$35,"emissions",'6.1_Resultats Illes Balears'!E$71:E205)/1000)-SUM(I$72:I204)</f>
        <v>0</v>
      </c>
      <c r="J205" s="507"/>
      <c r="K205" s="508">
        <f t="shared" si="4"/>
        <v>0</v>
      </c>
      <c r="L205" s="508"/>
      <c r="M205" s="508"/>
      <c r="N205" s="507">
        <f>((DSUM('4.1_Electricitat Illes Balears'!$E$20:$J$42,"emisiones",'6.1_Resultats Illes Balears'!E$71:E205)+DSUM('4.1_Electricitat Illes Balears'!$E$50:$K$70,"emisiones",'6.1_Resultats Illes Balears'!E$71:E205))/1000)-SUM(N$72:N204)</f>
        <v>0</v>
      </c>
      <c r="O205" s="508"/>
      <c r="P205" s="508">
        <f t="shared" si="5"/>
        <v>0</v>
      </c>
      <c r="Q205" s="508"/>
      <c r="R205" s="508"/>
    </row>
    <row r="206" spans="1:18" x14ac:dyDescent="0.3">
      <c r="A206" s="198"/>
      <c r="E206" s="197" t="str">
        <f>IF(Dades!E796="","",Dades!E796)</f>
        <v/>
      </c>
      <c r="F206" s="396">
        <f>(DSUM('1_Combustibles fòssils'!$E$17:$N$39,"emissions",'6.1_Resultats Illes Balears'!E$71:E206)/1000)-SUM(F$72:F205)</f>
        <v>0</v>
      </c>
      <c r="G206" s="396">
        <f>((DSUM('1_Combustibles fòssils'!$E$47:$U$67,"emissions1",'6.1_Resultats Illes Balears'!E$71:E206)+DSUM('1_Combustibles fòssils'!$E$47:$U$67,"emissions2",'6.1_Resultats Illes Balears'!E$71:E206))/1000)-SUM(G$72:G205)</f>
        <v>0</v>
      </c>
      <c r="H206" s="396">
        <f>(DSUM('2_Fluorats'!$E$11:$P$33,"emissions",'6.1_Resultats Illes Balears'!E$71:E206)/1000)-SUM(H$72:H205)</f>
        <v>0</v>
      </c>
      <c r="I206" s="507">
        <f>(DSUM('3_Emissions processos'!$E$13:$K$35,"emissions",'6.1_Resultats Illes Balears'!E$71:E206)/1000)-SUM(I$72:I205)</f>
        <v>0</v>
      </c>
      <c r="J206" s="507"/>
      <c r="K206" s="508">
        <f t="shared" si="4"/>
        <v>0</v>
      </c>
      <c r="L206" s="508"/>
      <c r="M206" s="508"/>
      <c r="N206" s="507">
        <f>((DSUM('4.1_Electricitat Illes Balears'!$E$20:$J$42,"emisiones",'6.1_Resultats Illes Balears'!E$71:E206)+DSUM('4.1_Electricitat Illes Balears'!$E$50:$K$70,"emisiones",'6.1_Resultats Illes Balears'!E$71:E206))/1000)-SUM(N$72:N205)</f>
        <v>0</v>
      </c>
      <c r="O206" s="508"/>
      <c r="P206" s="508">
        <f t="shared" si="5"/>
        <v>0</v>
      </c>
      <c r="Q206" s="508"/>
      <c r="R206" s="508"/>
    </row>
    <row r="207" spans="1:18" x14ac:dyDescent="0.3">
      <c r="A207" s="198"/>
      <c r="E207" s="197" t="str">
        <f>IF(Dades!E797="","",Dades!E797)</f>
        <v/>
      </c>
      <c r="F207" s="396">
        <f>(DSUM('1_Combustibles fòssils'!$E$17:$N$39,"emissions",'6.1_Resultats Illes Balears'!E$71:E207)/1000)-SUM(F$72:F206)</f>
        <v>0</v>
      </c>
      <c r="G207" s="396">
        <f>((DSUM('1_Combustibles fòssils'!$E$47:$U$67,"emissions1",'6.1_Resultats Illes Balears'!E$71:E207)+DSUM('1_Combustibles fòssils'!$E$47:$U$67,"emissions2",'6.1_Resultats Illes Balears'!E$71:E207))/1000)-SUM(G$72:G206)</f>
        <v>0</v>
      </c>
      <c r="H207" s="396">
        <f>(DSUM('2_Fluorats'!$E$11:$P$33,"emissions",'6.1_Resultats Illes Balears'!E$71:E207)/1000)-SUM(H$72:H206)</f>
        <v>0</v>
      </c>
      <c r="I207" s="507">
        <f>(DSUM('3_Emissions processos'!$E$13:$K$35,"emissions",'6.1_Resultats Illes Balears'!E$71:E207)/1000)-SUM(I$72:I206)</f>
        <v>0</v>
      </c>
      <c r="J207" s="507"/>
      <c r="K207" s="508">
        <f t="shared" si="4"/>
        <v>0</v>
      </c>
      <c r="L207" s="508"/>
      <c r="M207" s="508"/>
      <c r="N207" s="507">
        <f>((DSUM('4.1_Electricitat Illes Balears'!$E$20:$J$42,"emisiones",'6.1_Resultats Illes Balears'!E$71:E207)+DSUM('4.1_Electricitat Illes Balears'!$E$50:$K$70,"emisiones",'6.1_Resultats Illes Balears'!E$71:E207))/1000)-SUM(N$72:N206)</f>
        <v>0</v>
      </c>
      <c r="O207" s="508"/>
      <c r="P207" s="508">
        <f t="shared" si="5"/>
        <v>0</v>
      </c>
      <c r="Q207" s="508"/>
      <c r="R207" s="508"/>
    </row>
    <row r="208" spans="1:18" x14ac:dyDescent="0.3">
      <c r="A208" s="198"/>
      <c r="E208" s="197" t="str">
        <f>IF(Dades!E798="","",Dades!E798)</f>
        <v/>
      </c>
      <c r="F208" s="396">
        <f>(DSUM('1_Combustibles fòssils'!$E$17:$N$39,"emissions",'6.1_Resultats Illes Balears'!E$71:E208)/1000)-SUM(F$72:F207)</f>
        <v>0</v>
      </c>
      <c r="G208" s="396">
        <f>((DSUM('1_Combustibles fòssils'!$E$47:$U$67,"emissions1",'6.1_Resultats Illes Balears'!E$71:E208)+DSUM('1_Combustibles fòssils'!$E$47:$U$67,"emissions2",'6.1_Resultats Illes Balears'!E$71:E208))/1000)-SUM(G$72:G207)</f>
        <v>0</v>
      </c>
      <c r="H208" s="396">
        <f>(DSUM('2_Fluorats'!$E$11:$P$33,"emissions",'6.1_Resultats Illes Balears'!E$71:E208)/1000)-SUM(H$72:H207)</f>
        <v>0</v>
      </c>
      <c r="I208" s="507">
        <f>(DSUM('3_Emissions processos'!$E$13:$K$35,"emissions",'6.1_Resultats Illes Balears'!E$71:E208)/1000)-SUM(I$72:I207)</f>
        <v>0</v>
      </c>
      <c r="J208" s="507"/>
      <c r="K208" s="508">
        <f t="shared" si="4"/>
        <v>0</v>
      </c>
      <c r="L208" s="508"/>
      <c r="M208" s="508"/>
      <c r="N208" s="507">
        <f>((DSUM('4.1_Electricitat Illes Balears'!$E$20:$J$42,"emisiones",'6.1_Resultats Illes Balears'!E$71:E208)+DSUM('4.1_Electricitat Illes Balears'!$E$50:$K$70,"emisiones",'6.1_Resultats Illes Balears'!E$71:E208))/1000)-SUM(N$72:N207)</f>
        <v>0</v>
      </c>
      <c r="O208" s="508"/>
      <c r="P208" s="508">
        <f t="shared" si="5"/>
        <v>0</v>
      </c>
      <c r="Q208" s="508"/>
      <c r="R208" s="508"/>
    </row>
    <row r="209" spans="1:18" x14ac:dyDescent="0.3">
      <c r="A209" s="198"/>
      <c r="E209" s="197" t="str">
        <f>IF(Dades!E799="","",Dades!E799)</f>
        <v/>
      </c>
      <c r="F209" s="396">
        <f>(DSUM('1_Combustibles fòssils'!$E$17:$N$39,"emissions",'6.1_Resultats Illes Balears'!E$71:E209)/1000)-SUM(F$72:F208)</f>
        <v>0</v>
      </c>
      <c r="G209" s="396">
        <f>((DSUM('1_Combustibles fòssils'!$E$47:$U$67,"emissions1",'6.1_Resultats Illes Balears'!E$71:E209)+DSUM('1_Combustibles fòssils'!$E$47:$U$67,"emissions2",'6.1_Resultats Illes Balears'!E$71:E209))/1000)-SUM(G$72:G208)</f>
        <v>0</v>
      </c>
      <c r="H209" s="396">
        <f>(DSUM('2_Fluorats'!$E$11:$P$33,"emissions",'6.1_Resultats Illes Balears'!E$71:E209)/1000)-SUM(H$72:H208)</f>
        <v>0</v>
      </c>
      <c r="I209" s="507">
        <f>(DSUM('3_Emissions processos'!$E$13:$K$35,"emissions",'6.1_Resultats Illes Balears'!E$71:E209)/1000)-SUM(I$72:I208)</f>
        <v>0</v>
      </c>
      <c r="J209" s="507"/>
      <c r="K209" s="508">
        <f t="shared" si="4"/>
        <v>0</v>
      </c>
      <c r="L209" s="508"/>
      <c r="M209" s="508"/>
      <c r="N209" s="507">
        <f>((DSUM('4.1_Electricitat Illes Balears'!$E$20:$J$42,"emisiones",'6.1_Resultats Illes Balears'!E$71:E209)+DSUM('4.1_Electricitat Illes Balears'!$E$50:$K$70,"emisiones",'6.1_Resultats Illes Balears'!E$71:E209))/1000)-SUM(N$72:N208)</f>
        <v>0</v>
      </c>
      <c r="O209" s="508"/>
      <c r="P209" s="508">
        <f t="shared" si="5"/>
        <v>0</v>
      </c>
      <c r="Q209" s="508"/>
      <c r="R209" s="508"/>
    </row>
    <row r="210" spans="1:18" x14ac:dyDescent="0.3">
      <c r="A210" s="198"/>
      <c r="E210" s="197" t="str">
        <f>IF(Dades!E800="","",Dades!E800)</f>
        <v/>
      </c>
      <c r="F210" s="396">
        <f>(DSUM('1_Combustibles fòssils'!$E$17:$N$39,"emissions",'6.1_Resultats Illes Balears'!E$71:E210)/1000)-SUM(F$72:F209)</f>
        <v>0</v>
      </c>
      <c r="G210" s="396">
        <f>((DSUM('1_Combustibles fòssils'!$E$47:$U$67,"emissions1",'6.1_Resultats Illes Balears'!E$71:E210)+DSUM('1_Combustibles fòssils'!$E$47:$U$67,"emissions2",'6.1_Resultats Illes Balears'!E$71:E210))/1000)-SUM(G$72:G209)</f>
        <v>0</v>
      </c>
      <c r="H210" s="396">
        <f>(DSUM('2_Fluorats'!$E$11:$P$33,"emissions",'6.1_Resultats Illes Balears'!E$71:E210)/1000)-SUM(H$72:H209)</f>
        <v>0</v>
      </c>
      <c r="I210" s="507">
        <f>(DSUM('3_Emissions processos'!$E$13:$K$35,"emissions",'6.1_Resultats Illes Balears'!E$71:E210)/1000)-SUM(I$72:I209)</f>
        <v>0</v>
      </c>
      <c r="J210" s="507"/>
      <c r="K210" s="508">
        <f t="shared" si="4"/>
        <v>0</v>
      </c>
      <c r="L210" s="508"/>
      <c r="M210" s="508"/>
      <c r="N210" s="507">
        <f>((DSUM('4.1_Electricitat Illes Balears'!$E$20:$J$42,"emisiones",'6.1_Resultats Illes Balears'!E$71:E210)+DSUM('4.1_Electricitat Illes Balears'!$E$50:$K$70,"emisiones",'6.1_Resultats Illes Balears'!E$71:E210))/1000)-SUM(N$72:N209)</f>
        <v>0</v>
      </c>
      <c r="O210" s="508"/>
      <c r="P210" s="508">
        <f t="shared" si="5"/>
        <v>0</v>
      </c>
      <c r="Q210" s="508"/>
      <c r="R210" s="508"/>
    </row>
    <row r="211" spans="1:18" x14ac:dyDescent="0.3">
      <c r="A211" s="198"/>
      <c r="E211" s="197" t="str">
        <f>IF(Dades!E801="","",Dades!E801)</f>
        <v/>
      </c>
      <c r="F211" s="396">
        <f>(DSUM('1_Combustibles fòssils'!$E$17:$N$39,"emissions",'6.1_Resultats Illes Balears'!E$71:E211)/1000)-SUM(F$72:F210)</f>
        <v>0</v>
      </c>
      <c r="G211" s="396">
        <f>((DSUM('1_Combustibles fòssils'!$E$47:$U$67,"emissions1",'6.1_Resultats Illes Balears'!E$71:E211)+DSUM('1_Combustibles fòssils'!$E$47:$U$67,"emissions2",'6.1_Resultats Illes Balears'!E$71:E211))/1000)-SUM(G$72:G210)</f>
        <v>0</v>
      </c>
      <c r="H211" s="396">
        <f>(DSUM('2_Fluorats'!$E$11:$P$33,"emissions",'6.1_Resultats Illes Balears'!E$71:E211)/1000)-SUM(H$72:H210)</f>
        <v>0</v>
      </c>
      <c r="I211" s="507">
        <f>(DSUM('3_Emissions processos'!$E$13:$K$35,"emissions",'6.1_Resultats Illes Balears'!E$71:E211)/1000)-SUM(I$72:I210)</f>
        <v>0</v>
      </c>
      <c r="J211" s="507"/>
      <c r="K211" s="508">
        <f t="shared" si="4"/>
        <v>0</v>
      </c>
      <c r="L211" s="508"/>
      <c r="M211" s="508"/>
      <c r="N211" s="507">
        <f>((DSUM('4.1_Electricitat Illes Balears'!$E$20:$J$42,"emisiones",'6.1_Resultats Illes Balears'!E$71:E211)+DSUM('4.1_Electricitat Illes Balears'!$E$50:$K$70,"emisiones",'6.1_Resultats Illes Balears'!E$71:E211))/1000)-SUM(N$72:N210)</f>
        <v>0</v>
      </c>
      <c r="O211" s="508"/>
      <c r="P211" s="508">
        <f t="shared" si="5"/>
        <v>0</v>
      </c>
      <c r="Q211" s="508"/>
      <c r="R211" s="508"/>
    </row>
    <row r="212" spans="1:18" x14ac:dyDescent="0.3">
      <c r="A212" s="198"/>
      <c r="E212" s="197" t="str">
        <f>IF(Dades!E802="","",Dades!E802)</f>
        <v/>
      </c>
      <c r="F212" s="396">
        <f>(DSUM('1_Combustibles fòssils'!$E$17:$N$39,"emissions",'6.1_Resultats Illes Balears'!E$71:E212)/1000)-SUM(F$72:F211)</f>
        <v>0</v>
      </c>
      <c r="G212" s="396">
        <f>((DSUM('1_Combustibles fòssils'!$E$47:$U$67,"emissions1",'6.1_Resultats Illes Balears'!E$71:E212)+DSUM('1_Combustibles fòssils'!$E$47:$U$67,"emissions2",'6.1_Resultats Illes Balears'!E$71:E212))/1000)-SUM(G$72:G211)</f>
        <v>0</v>
      </c>
      <c r="H212" s="396">
        <f>(DSUM('2_Fluorats'!$E$11:$P$33,"emissions",'6.1_Resultats Illes Balears'!E$71:E212)/1000)-SUM(H$72:H211)</f>
        <v>0</v>
      </c>
      <c r="I212" s="507">
        <f>(DSUM('3_Emissions processos'!$E$13:$K$35,"emissions",'6.1_Resultats Illes Balears'!E$71:E212)/1000)-SUM(I$72:I211)</f>
        <v>0</v>
      </c>
      <c r="J212" s="507"/>
      <c r="K212" s="508">
        <f t="shared" si="4"/>
        <v>0</v>
      </c>
      <c r="L212" s="508"/>
      <c r="M212" s="508"/>
      <c r="N212" s="507">
        <f>((DSUM('4.1_Electricitat Illes Balears'!$E$20:$J$42,"emisiones",'6.1_Resultats Illes Balears'!E$71:E212)+DSUM('4.1_Electricitat Illes Balears'!$E$50:$K$70,"emisiones",'6.1_Resultats Illes Balears'!E$71:E212))/1000)-SUM(N$72:N211)</f>
        <v>0</v>
      </c>
      <c r="O212" s="508"/>
      <c r="P212" s="508">
        <f t="shared" si="5"/>
        <v>0</v>
      </c>
      <c r="Q212" s="508"/>
      <c r="R212" s="508"/>
    </row>
    <row r="213" spans="1:18" x14ac:dyDescent="0.3">
      <c r="A213" s="198"/>
      <c r="E213" s="197" t="str">
        <f>IF(Dades!E803="","",Dades!E803)</f>
        <v/>
      </c>
      <c r="F213" s="396">
        <f>(DSUM('1_Combustibles fòssils'!$E$17:$N$39,"emissions",'6.1_Resultats Illes Balears'!E$71:E213)/1000)-SUM(F$72:F212)</f>
        <v>0</v>
      </c>
      <c r="G213" s="396">
        <f>((DSUM('1_Combustibles fòssils'!$E$47:$U$67,"emissions1",'6.1_Resultats Illes Balears'!E$71:E213)+DSUM('1_Combustibles fòssils'!$E$47:$U$67,"emissions2",'6.1_Resultats Illes Balears'!E$71:E213))/1000)-SUM(G$72:G212)</f>
        <v>0</v>
      </c>
      <c r="H213" s="396">
        <f>(DSUM('2_Fluorats'!$E$11:$P$33,"emissions",'6.1_Resultats Illes Balears'!E$71:E213)/1000)-SUM(H$72:H212)</f>
        <v>0</v>
      </c>
      <c r="I213" s="507">
        <f>(DSUM('3_Emissions processos'!$E$13:$K$35,"emissions",'6.1_Resultats Illes Balears'!E$71:E213)/1000)-SUM(I$72:I212)</f>
        <v>0</v>
      </c>
      <c r="J213" s="507"/>
      <c r="K213" s="508">
        <f t="shared" si="4"/>
        <v>0</v>
      </c>
      <c r="L213" s="508"/>
      <c r="M213" s="508"/>
      <c r="N213" s="507">
        <f>((DSUM('4.1_Electricitat Illes Balears'!$E$20:$J$42,"emisiones",'6.1_Resultats Illes Balears'!E$71:E213)+DSUM('4.1_Electricitat Illes Balears'!$E$50:$K$70,"emisiones",'6.1_Resultats Illes Balears'!E$71:E213))/1000)-SUM(N$72:N212)</f>
        <v>0</v>
      </c>
      <c r="O213" s="508"/>
      <c r="P213" s="508">
        <f t="shared" si="5"/>
        <v>0</v>
      </c>
      <c r="Q213" s="508"/>
      <c r="R213" s="508"/>
    </row>
    <row r="214" spans="1:18" x14ac:dyDescent="0.3">
      <c r="A214" s="198"/>
      <c r="E214" s="197" t="str">
        <f>IF(Dades!E804="","",Dades!E804)</f>
        <v/>
      </c>
      <c r="F214" s="396">
        <f>(DSUM('1_Combustibles fòssils'!$E$17:$N$39,"emissions",'6.1_Resultats Illes Balears'!E$71:E214)/1000)-SUM(F$72:F213)</f>
        <v>0</v>
      </c>
      <c r="G214" s="396">
        <f>((DSUM('1_Combustibles fòssils'!$E$47:$U$67,"emissions1",'6.1_Resultats Illes Balears'!E$71:E214)+DSUM('1_Combustibles fòssils'!$E$47:$U$67,"emissions2",'6.1_Resultats Illes Balears'!E$71:E214))/1000)-SUM(G$72:G213)</f>
        <v>0</v>
      </c>
      <c r="H214" s="396">
        <f>(DSUM('2_Fluorats'!$E$11:$P$33,"emissions",'6.1_Resultats Illes Balears'!E$71:E214)/1000)-SUM(H$72:H213)</f>
        <v>0</v>
      </c>
      <c r="I214" s="507">
        <f>(DSUM('3_Emissions processos'!$E$13:$K$35,"emissions",'6.1_Resultats Illes Balears'!E$71:E214)/1000)-SUM(I$72:I213)</f>
        <v>0</v>
      </c>
      <c r="J214" s="507"/>
      <c r="K214" s="508">
        <f t="shared" si="4"/>
        <v>0</v>
      </c>
      <c r="L214" s="508"/>
      <c r="M214" s="508"/>
      <c r="N214" s="507">
        <f>((DSUM('4.1_Electricitat Illes Balears'!$E$20:$J$42,"emisiones",'6.1_Resultats Illes Balears'!E$71:E214)+DSUM('4.1_Electricitat Illes Balears'!$E$50:$K$70,"emisiones",'6.1_Resultats Illes Balears'!E$71:E214))/1000)-SUM(N$72:N213)</f>
        <v>0</v>
      </c>
      <c r="O214" s="508"/>
      <c r="P214" s="508">
        <f t="shared" si="5"/>
        <v>0</v>
      </c>
      <c r="Q214" s="508"/>
      <c r="R214" s="508"/>
    </row>
    <row r="215" spans="1:18" x14ac:dyDescent="0.3">
      <c r="A215" s="198"/>
      <c r="E215" s="197" t="str">
        <f>IF(Dades!E805="","",Dades!E805)</f>
        <v/>
      </c>
      <c r="F215" s="396">
        <f>(DSUM('1_Combustibles fòssils'!$E$17:$N$39,"emissions",'6.1_Resultats Illes Balears'!E$71:E215)/1000)-SUM(F$72:F214)</f>
        <v>0</v>
      </c>
      <c r="G215" s="396">
        <f>((DSUM('1_Combustibles fòssils'!$E$47:$U$67,"emissions1",'6.1_Resultats Illes Balears'!E$71:E215)+DSUM('1_Combustibles fòssils'!$E$47:$U$67,"emissions2",'6.1_Resultats Illes Balears'!E$71:E215))/1000)-SUM(G$72:G214)</f>
        <v>0</v>
      </c>
      <c r="H215" s="396">
        <f>(DSUM('2_Fluorats'!$E$11:$P$33,"emissions",'6.1_Resultats Illes Balears'!E$71:E215)/1000)-SUM(H$72:H214)</f>
        <v>0</v>
      </c>
      <c r="I215" s="507">
        <f>(DSUM('3_Emissions processos'!$E$13:$K$35,"emissions",'6.1_Resultats Illes Balears'!E$71:E215)/1000)-SUM(I$72:I214)</f>
        <v>0</v>
      </c>
      <c r="J215" s="507"/>
      <c r="K215" s="508">
        <f t="shared" si="4"/>
        <v>0</v>
      </c>
      <c r="L215" s="508"/>
      <c r="M215" s="508"/>
      <c r="N215" s="507">
        <f>((DSUM('4.1_Electricitat Illes Balears'!$E$20:$J$42,"emisiones",'6.1_Resultats Illes Balears'!E$71:E215)+DSUM('4.1_Electricitat Illes Balears'!$E$50:$K$70,"emisiones",'6.1_Resultats Illes Balears'!E$71:E215))/1000)-SUM(N$72:N214)</f>
        <v>0</v>
      </c>
      <c r="O215" s="508"/>
      <c r="P215" s="508">
        <f t="shared" si="5"/>
        <v>0</v>
      </c>
      <c r="Q215" s="508"/>
      <c r="R215" s="508"/>
    </row>
    <row r="216" spans="1:18" x14ac:dyDescent="0.3">
      <c r="A216" s="198"/>
      <c r="E216" s="197" t="str">
        <f>IF(Dades!E806="","",Dades!E806)</f>
        <v/>
      </c>
      <c r="F216" s="396">
        <f>(DSUM('1_Combustibles fòssils'!$E$17:$N$39,"emissions",'6.1_Resultats Illes Balears'!E$71:E216)/1000)-SUM(F$72:F215)</f>
        <v>0</v>
      </c>
      <c r="G216" s="396">
        <f>((DSUM('1_Combustibles fòssils'!$E$47:$U$67,"emissions1",'6.1_Resultats Illes Balears'!E$71:E216)+DSUM('1_Combustibles fòssils'!$E$47:$U$67,"emissions2",'6.1_Resultats Illes Balears'!E$71:E216))/1000)-SUM(G$72:G215)</f>
        <v>0</v>
      </c>
      <c r="H216" s="396">
        <f>(DSUM('2_Fluorats'!$E$11:$P$33,"emissions",'6.1_Resultats Illes Balears'!E$71:E216)/1000)-SUM(H$72:H215)</f>
        <v>0</v>
      </c>
      <c r="I216" s="507">
        <f>(DSUM('3_Emissions processos'!$E$13:$K$35,"emissions",'6.1_Resultats Illes Balears'!E$71:E216)/1000)-SUM(I$72:I215)</f>
        <v>0</v>
      </c>
      <c r="J216" s="507"/>
      <c r="K216" s="508">
        <f t="shared" si="4"/>
        <v>0</v>
      </c>
      <c r="L216" s="508"/>
      <c r="M216" s="508"/>
      <c r="N216" s="507">
        <f>((DSUM('4.1_Electricitat Illes Balears'!$E$20:$J$42,"emisiones",'6.1_Resultats Illes Balears'!E$71:E216)+DSUM('4.1_Electricitat Illes Balears'!$E$50:$K$70,"emisiones",'6.1_Resultats Illes Balears'!E$71:E216))/1000)-SUM(N$72:N215)</f>
        <v>0</v>
      </c>
      <c r="O216" s="508"/>
      <c r="P216" s="508">
        <f t="shared" si="5"/>
        <v>0</v>
      </c>
      <c r="Q216" s="508"/>
      <c r="R216" s="508"/>
    </row>
    <row r="217" spans="1:18" x14ac:dyDescent="0.3">
      <c r="A217" s="198"/>
      <c r="E217" s="197" t="str">
        <f>IF(Dades!E807="","",Dades!E807)</f>
        <v/>
      </c>
      <c r="F217" s="396">
        <f>(DSUM('1_Combustibles fòssils'!$E$17:$N$39,"emissions",'6.1_Resultats Illes Balears'!E$71:E217)/1000)-SUM(F$72:F216)</f>
        <v>0</v>
      </c>
      <c r="G217" s="396">
        <f>((DSUM('1_Combustibles fòssils'!$E$47:$U$67,"emissions1",'6.1_Resultats Illes Balears'!E$71:E217)+DSUM('1_Combustibles fòssils'!$E$47:$U$67,"emissions2",'6.1_Resultats Illes Balears'!E$71:E217))/1000)-SUM(G$72:G216)</f>
        <v>0</v>
      </c>
      <c r="H217" s="396">
        <f>(DSUM('2_Fluorats'!$E$11:$P$33,"emissions",'6.1_Resultats Illes Balears'!E$71:E217)/1000)-SUM(H$72:H216)</f>
        <v>0</v>
      </c>
      <c r="I217" s="507">
        <f>(DSUM('3_Emissions processos'!$E$13:$K$35,"emissions",'6.1_Resultats Illes Balears'!E$71:E217)/1000)-SUM(I$72:I216)</f>
        <v>0</v>
      </c>
      <c r="J217" s="507"/>
      <c r="K217" s="508">
        <f t="shared" si="4"/>
        <v>0</v>
      </c>
      <c r="L217" s="508"/>
      <c r="M217" s="508"/>
      <c r="N217" s="507">
        <f>((DSUM('4.1_Electricitat Illes Balears'!$E$20:$J$42,"emisiones",'6.1_Resultats Illes Balears'!E$71:E217)+DSUM('4.1_Electricitat Illes Balears'!$E$50:$K$70,"emisiones",'6.1_Resultats Illes Balears'!E$71:E217))/1000)-SUM(N$72:N216)</f>
        <v>0</v>
      </c>
      <c r="O217" s="508"/>
      <c r="P217" s="508">
        <f t="shared" si="5"/>
        <v>0</v>
      </c>
      <c r="Q217" s="508"/>
      <c r="R217" s="508"/>
    </row>
    <row r="218" spans="1:18" x14ac:dyDescent="0.3">
      <c r="A218" s="198"/>
      <c r="E218" s="197" t="str">
        <f>IF(Dades!E808="","",Dades!E808)</f>
        <v/>
      </c>
      <c r="F218" s="396">
        <f>(DSUM('1_Combustibles fòssils'!$E$17:$N$39,"emissions",'6.1_Resultats Illes Balears'!E$71:E218)/1000)-SUM(F$72:F217)</f>
        <v>0</v>
      </c>
      <c r="G218" s="396">
        <f>((DSUM('1_Combustibles fòssils'!$E$47:$U$67,"emissions1",'6.1_Resultats Illes Balears'!E$71:E218)+DSUM('1_Combustibles fòssils'!$E$47:$U$67,"emissions2",'6.1_Resultats Illes Balears'!E$71:E218))/1000)-SUM(G$72:G217)</f>
        <v>0</v>
      </c>
      <c r="H218" s="396">
        <f>(DSUM('2_Fluorats'!$E$11:$P$33,"emissions",'6.1_Resultats Illes Balears'!E$71:E218)/1000)-SUM(H$72:H217)</f>
        <v>0</v>
      </c>
      <c r="I218" s="507">
        <f>(DSUM('3_Emissions processos'!$E$13:$K$35,"emissions",'6.1_Resultats Illes Balears'!E$71:E218)/1000)-SUM(I$72:I217)</f>
        <v>0</v>
      </c>
      <c r="J218" s="507"/>
      <c r="K218" s="508">
        <f t="shared" si="4"/>
        <v>0</v>
      </c>
      <c r="L218" s="508"/>
      <c r="M218" s="508"/>
      <c r="N218" s="507">
        <f>((DSUM('4.1_Electricitat Illes Balears'!$E$20:$J$42,"emisiones",'6.1_Resultats Illes Balears'!E$71:E218)+DSUM('4.1_Electricitat Illes Balears'!$E$50:$K$70,"emisiones",'6.1_Resultats Illes Balears'!E$71:E218))/1000)-SUM(N$72:N217)</f>
        <v>0</v>
      </c>
      <c r="O218" s="508"/>
      <c r="P218" s="508">
        <f t="shared" si="5"/>
        <v>0</v>
      </c>
      <c r="Q218" s="508"/>
      <c r="R218" s="508"/>
    </row>
    <row r="219" spans="1:18" x14ac:dyDescent="0.3">
      <c r="A219" s="198"/>
      <c r="E219" s="197" t="str">
        <f>IF(Dades!E809="","",Dades!E809)</f>
        <v/>
      </c>
      <c r="F219" s="396">
        <f>(DSUM('1_Combustibles fòssils'!$E$17:$N$39,"emissions",'6.1_Resultats Illes Balears'!E$71:E219)/1000)-SUM(F$72:F218)</f>
        <v>0</v>
      </c>
      <c r="G219" s="396">
        <f>((DSUM('1_Combustibles fòssils'!$E$47:$U$67,"emissions1",'6.1_Resultats Illes Balears'!E$71:E219)+DSUM('1_Combustibles fòssils'!$E$47:$U$67,"emissions2",'6.1_Resultats Illes Balears'!E$71:E219))/1000)-SUM(G$72:G218)</f>
        <v>0</v>
      </c>
      <c r="H219" s="396">
        <f>(DSUM('2_Fluorats'!$E$11:$P$33,"emissions",'6.1_Resultats Illes Balears'!E$71:E219)/1000)-SUM(H$72:H218)</f>
        <v>0</v>
      </c>
      <c r="I219" s="507">
        <f>(DSUM('3_Emissions processos'!$E$13:$K$35,"emissions",'6.1_Resultats Illes Balears'!E$71:E219)/1000)-SUM(I$72:I218)</f>
        <v>0</v>
      </c>
      <c r="J219" s="507"/>
      <c r="K219" s="508">
        <f t="shared" si="4"/>
        <v>0</v>
      </c>
      <c r="L219" s="508"/>
      <c r="M219" s="508"/>
      <c r="N219" s="507">
        <f>((DSUM('4.1_Electricitat Illes Balears'!$E$20:$J$42,"emisiones",'6.1_Resultats Illes Balears'!E$71:E219)+DSUM('4.1_Electricitat Illes Balears'!$E$50:$K$70,"emisiones",'6.1_Resultats Illes Balears'!E$71:E219))/1000)-SUM(N$72:N218)</f>
        <v>0</v>
      </c>
      <c r="O219" s="508"/>
      <c r="P219" s="508">
        <f t="shared" si="5"/>
        <v>0</v>
      </c>
      <c r="Q219" s="508"/>
      <c r="R219" s="508"/>
    </row>
    <row r="220" spans="1:18" x14ac:dyDescent="0.3">
      <c r="A220" s="198"/>
      <c r="E220" s="197" t="str">
        <f>IF(Dades!E810="","",Dades!E810)</f>
        <v/>
      </c>
      <c r="F220" s="396">
        <f>(DSUM('1_Combustibles fòssils'!$E$17:$N$39,"emissions",'6.1_Resultats Illes Balears'!E$71:E220)/1000)-SUM(F$72:F219)</f>
        <v>0</v>
      </c>
      <c r="G220" s="396">
        <f>((DSUM('1_Combustibles fòssils'!$E$47:$U$67,"emissions1",'6.1_Resultats Illes Balears'!E$71:E220)+DSUM('1_Combustibles fòssils'!$E$47:$U$67,"emissions2",'6.1_Resultats Illes Balears'!E$71:E220))/1000)-SUM(G$72:G219)</f>
        <v>0</v>
      </c>
      <c r="H220" s="396">
        <f>(DSUM('2_Fluorats'!$E$11:$P$33,"emissions",'6.1_Resultats Illes Balears'!E$71:E220)/1000)-SUM(H$72:H219)</f>
        <v>0</v>
      </c>
      <c r="I220" s="507">
        <f>(DSUM('3_Emissions processos'!$E$13:$K$35,"emissions",'6.1_Resultats Illes Balears'!E$71:E220)/1000)-SUM(I$72:I219)</f>
        <v>0</v>
      </c>
      <c r="J220" s="507"/>
      <c r="K220" s="508">
        <f t="shared" si="4"/>
        <v>0</v>
      </c>
      <c r="L220" s="508"/>
      <c r="M220" s="508"/>
      <c r="N220" s="507">
        <f>((DSUM('4.1_Electricitat Illes Balears'!$E$20:$J$42,"emisiones",'6.1_Resultats Illes Balears'!E$71:E220)+DSUM('4.1_Electricitat Illes Balears'!$E$50:$K$70,"emisiones",'6.1_Resultats Illes Balears'!E$71:E220))/1000)-SUM(N$72:N219)</f>
        <v>0</v>
      </c>
      <c r="O220" s="508"/>
      <c r="P220" s="508">
        <f t="shared" si="5"/>
        <v>0</v>
      </c>
      <c r="Q220" s="508"/>
      <c r="R220" s="508"/>
    </row>
    <row r="221" spans="1:18" x14ac:dyDescent="0.3">
      <c r="A221" s="198"/>
      <c r="E221" s="197" t="str">
        <f>IF(Dades!E811="","",Dades!E811)</f>
        <v/>
      </c>
      <c r="F221" s="396">
        <f>(DSUM('1_Combustibles fòssils'!$E$17:$N$39,"emissions",'6.1_Resultats Illes Balears'!E$71:E221)/1000)-SUM(F$72:F220)</f>
        <v>0</v>
      </c>
      <c r="G221" s="396">
        <f>((DSUM('1_Combustibles fòssils'!$E$47:$U$67,"emissions1",'6.1_Resultats Illes Balears'!E$71:E221)+DSUM('1_Combustibles fòssils'!$E$47:$U$67,"emissions2",'6.1_Resultats Illes Balears'!E$71:E221))/1000)-SUM(G$72:G220)</f>
        <v>0</v>
      </c>
      <c r="H221" s="396">
        <f>(DSUM('2_Fluorats'!$E$11:$P$33,"emissions",'6.1_Resultats Illes Balears'!E$71:E221)/1000)-SUM(H$72:H220)</f>
        <v>0</v>
      </c>
      <c r="I221" s="507">
        <f>(DSUM('3_Emissions processos'!$E$13:$K$35,"emissions",'6.1_Resultats Illes Balears'!E$71:E221)/1000)-SUM(I$72:I220)</f>
        <v>0</v>
      </c>
      <c r="J221" s="507"/>
      <c r="K221" s="508">
        <f t="shared" si="4"/>
        <v>0</v>
      </c>
      <c r="L221" s="508"/>
      <c r="M221" s="508"/>
      <c r="N221" s="507">
        <f>((DSUM('4.1_Electricitat Illes Balears'!$E$20:$J$42,"emisiones",'6.1_Resultats Illes Balears'!E$71:E221)+DSUM('4.1_Electricitat Illes Balears'!$E$50:$K$70,"emisiones",'6.1_Resultats Illes Balears'!E$71:E221))/1000)-SUM(N$72:N220)</f>
        <v>0</v>
      </c>
      <c r="O221" s="508"/>
      <c r="P221" s="508">
        <f t="shared" si="5"/>
        <v>0</v>
      </c>
      <c r="Q221" s="508"/>
      <c r="R221" s="508"/>
    </row>
    <row r="222" spans="1:18" x14ac:dyDescent="0.3">
      <c r="A222" s="198"/>
      <c r="E222" s="197" t="str">
        <f>IF(Dades!E812="","",Dades!E812)</f>
        <v/>
      </c>
      <c r="F222" s="396">
        <f>(DSUM('1_Combustibles fòssils'!$E$17:$N$39,"emissions",'6.1_Resultats Illes Balears'!E$71:E222)/1000)-SUM(F$72:F221)</f>
        <v>0</v>
      </c>
      <c r="G222" s="396">
        <f>((DSUM('1_Combustibles fòssils'!$E$47:$U$67,"emissions1",'6.1_Resultats Illes Balears'!E$71:E222)+DSUM('1_Combustibles fòssils'!$E$47:$U$67,"emissions2",'6.1_Resultats Illes Balears'!E$71:E222))/1000)-SUM(G$72:G221)</f>
        <v>0</v>
      </c>
      <c r="H222" s="396">
        <f>(DSUM('2_Fluorats'!$E$11:$P$33,"emissions",'6.1_Resultats Illes Balears'!E$71:E222)/1000)-SUM(H$72:H221)</f>
        <v>0</v>
      </c>
      <c r="I222" s="507">
        <f>(DSUM('3_Emissions processos'!$E$13:$K$35,"emissions",'6.1_Resultats Illes Balears'!E$71:E222)/1000)-SUM(I$72:I221)</f>
        <v>0</v>
      </c>
      <c r="J222" s="507"/>
      <c r="K222" s="508">
        <f t="shared" si="4"/>
        <v>0</v>
      </c>
      <c r="L222" s="508"/>
      <c r="M222" s="508"/>
      <c r="N222" s="507">
        <f>((DSUM('4.1_Electricitat Illes Balears'!$E$20:$J$42,"emisiones",'6.1_Resultats Illes Balears'!E$71:E222)+DSUM('4.1_Electricitat Illes Balears'!$E$50:$K$70,"emisiones",'6.1_Resultats Illes Balears'!E$71:E222))/1000)-SUM(N$72:N221)</f>
        <v>0</v>
      </c>
      <c r="O222" s="508"/>
      <c r="P222" s="508">
        <f t="shared" si="5"/>
        <v>0</v>
      </c>
      <c r="Q222" s="508"/>
      <c r="R222" s="508"/>
    </row>
    <row r="223" spans="1:18" x14ac:dyDescent="0.3">
      <c r="A223" s="198"/>
      <c r="E223" s="197" t="str">
        <f>IF(Dades!E813="","",Dades!E813)</f>
        <v/>
      </c>
      <c r="F223" s="396">
        <f>(DSUM('1_Combustibles fòssils'!$E$17:$N$39,"emissions",'6.1_Resultats Illes Balears'!E$71:E223)/1000)-SUM(F$72:F222)</f>
        <v>0</v>
      </c>
      <c r="G223" s="396">
        <f>((DSUM('1_Combustibles fòssils'!$E$47:$U$67,"emissions1",'6.1_Resultats Illes Balears'!E$71:E223)+DSUM('1_Combustibles fòssils'!$E$47:$U$67,"emissions2",'6.1_Resultats Illes Balears'!E$71:E223))/1000)-SUM(G$72:G222)</f>
        <v>0</v>
      </c>
      <c r="H223" s="396">
        <f>(DSUM('2_Fluorats'!$E$11:$P$33,"emissions",'6.1_Resultats Illes Balears'!E$71:E223)/1000)-SUM(H$72:H222)</f>
        <v>0</v>
      </c>
      <c r="I223" s="507">
        <f>(DSUM('3_Emissions processos'!$E$13:$K$35,"emissions",'6.1_Resultats Illes Balears'!E$71:E223)/1000)-SUM(I$72:I222)</f>
        <v>0</v>
      </c>
      <c r="J223" s="507"/>
      <c r="K223" s="508">
        <f t="shared" si="4"/>
        <v>0</v>
      </c>
      <c r="L223" s="508"/>
      <c r="M223" s="508"/>
      <c r="N223" s="507">
        <f>((DSUM('4.1_Electricitat Illes Balears'!$E$20:$J$42,"emisiones",'6.1_Resultats Illes Balears'!E$71:E223)+DSUM('4.1_Electricitat Illes Balears'!$E$50:$K$70,"emisiones",'6.1_Resultats Illes Balears'!E$71:E223))/1000)-SUM(N$72:N222)</f>
        <v>0</v>
      </c>
      <c r="O223" s="508"/>
      <c r="P223" s="508">
        <f t="shared" si="5"/>
        <v>0</v>
      </c>
      <c r="Q223" s="508"/>
      <c r="R223" s="508"/>
    </row>
    <row r="224" spans="1:18" x14ac:dyDescent="0.3">
      <c r="A224" s="198"/>
      <c r="E224" s="197" t="str">
        <f>IF(Dades!E814="","",Dades!E814)</f>
        <v/>
      </c>
      <c r="F224" s="396">
        <f>(DSUM('1_Combustibles fòssils'!$E$17:$N$39,"emissions",'6.1_Resultats Illes Balears'!E$71:E224)/1000)-SUM(F$72:F223)</f>
        <v>0</v>
      </c>
      <c r="G224" s="396">
        <f>((DSUM('1_Combustibles fòssils'!$E$47:$U$67,"emissions1",'6.1_Resultats Illes Balears'!E$71:E224)+DSUM('1_Combustibles fòssils'!$E$47:$U$67,"emissions2",'6.1_Resultats Illes Balears'!E$71:E224))/1000)-SUM(G$72:G223)</f>
        <v>0</v>
      </c>
      <c r="H224" s="396">
        <f>(DSUM('2_Fluorats'!$E$11:$P$33,"emissions",'6.1_Resultats Illes Balears'!E$71:E224)/1000)-SUM(H$72:H223)</f>
        <v>0</v>
      </c>
      <c r="I224" s="507">
        <f>(DSUM('3_Emissions processos'!$E$13:$K$35,"emissions",'6.1_Resultats Illes Balears'!E$71:E224)/1000)-SUM(I$72:I223)</f>
        <v>0</v>
      </c>
      <c r="J224" s="507"/>
      <c r="K224" s="508">
        <f t="shared" si="4"/>
        <v>0</v>
      </c>
      <c r="L224" s="508"/>
      <c r="M224" s="508"/>
      <c r="N224" s="507">
        <f>((DSUM('4.1_Electricitat Illes Balears'!$E$20:$J$42,"emisiones",'6.1_Resultats Illes Balears'!E$71:E224)+DSUM('4.1_Electricitat Illes Balears'!$E$50:$K$70,"emisiones",'6.1_Resultats Illes Balears'!E$71:E224))/1000)-SUM(N$72:N223)</f>
        <v>0</v>
      </c>
      <c r="O224" s="508"/>
      <c r="P224" s="508">
        <f t="shared" si="5"/>
        <v>0</v>
      </c>
      <c r="Q224" s="508"/>
      <c r="R224" s="508"/>
    </row>
    <row r="225" spans="1:18" x14ac:dyDescent="0.3">
      <c r="A225" s="198"/>
      <c r="E225" s="197" t="str">
        <f>IF(Dades!E815="","",Dades!E815)</f>
        <v/>
      </c>
      <c r="F225" s="396">
        <f>(DSUM('1_Combustibles fòssils'!$E$17:$N$39,"emissions",'6.1_Resultats Illes Balears'!E$71:E225)/1000)-SUM(F$72:F224)</f>
        <v>0</v>
      </c>
      <c r="G225" s="396">
        <f>((DSUM('1_Combustibles fòssils'!$E$47:$U$67,"emissions1",'6.1_Resultats Illes Balears'!E$71:E225)+DSUM('1_Combustibles fòssils'!$E$47:$U$67,"emissions2",'6.1_Resultats Illes Balears'!E$71:E225))/1000)-SUM(G$72:G224)</f>
        <v>0</v>
      </c>
      <c r="H225" s="396">
        <f>(DSUM('2_Fluorats'!$E$11:$P$33,"emissions",'6.1_Resultats Illes Balears'!E$71:E225)/1000)-SUM(H$72:H224)</f>
        <v>0</v>
      </c>
      <c r="I225" s="507">
        <f>(DSUM('3_Emissions processos'!$E$13:$K$35,"emissions",'6.1_Resultats Illes Balears'!E$71:E225)/1000)-SUM(I$72:I224)</f>
        <v>0</v>
      </c>
      <c r="J225" s="507"/>
      <c r="K225" s="508">
        <f t="shared" si="4"/>
        <v>0</v>
      </c>
      <c r="L225" s="508"/>
      <c r="M225" s="508"/>
      <c r="N225" s="507">
        <f>((DSUM('4.1_Electricitat Illes Balears'!$E$20:$J$42,"emisiones",'6.1_Resultats Illes Balears'!E$71:E225)+DSUM('4.1_Electricitat Illes Balears'!$E$50:$K$70,"emisiones",'6.1_Resultats Illes Balears'!E$71:E225))/1000)-SUM(N$72:N224)</f>
        <v>0</v>
      </c>
      <c r="O225" s="508"/>
      <c r="P225" s="508">
        <f t="shared" si="5"/>
        <v>0</v>
      </c>
      <c r="Q225" s="508"/>
      <c r="R225" s="508"/>
    </row>
    <row r="226" spans="1:18" x14ac:dyDescent="0.3">
      <c r="A226" s="198"/>
      <c r="E226" s="197" t="str">
        <f>IF(Dades!E816="","",Dades!E816)</f>
        <v/>
      </c>
      <c r="F226" s="396">
        <f>(DSUM('1_Combustibles fòssils'!$E$17:$N$39,"emissions",'6.1_Resultats Illes Balears'!E$71:E226)/1000)-SUM(F$72:F225)</f>
        <v>0</v>
      </c>
      <c r="G226" s="396">
        <f>((DSUM('1_Combustibles fòssils'!$E$47:$U$67,"emissions1",'6.1_Resultats Illes Balears'!E$71:E226)+DSUM('1_Combustibles fòssils'!$E$47:$U$67,"emissions2",'6.1_Resultats Illes Balears'!E$71:E226))/1000)-SUM(G$72:G225)</f>
        <v>0</v>
      </c>
      <c r="H226" s="396">
        <f>(DSUM('2_Fluorats'!$E$11:$P$33,"emissions",'6.1_Resultats Illes Balears'!E$71:E226)/1000)-SUM(H$72:H225)</f>
        <v>0</v>
      </c>
      <c r="I226" s="507">
        <f>(DSUM('3_Emissions processos'!$E$13:$K$35,"emissions",'6.1_Resultats Illes Balears'!E$71:E226)/1000)-SUM(I$72:I225)</f>
        <v>0</v>
      </c>
      <c r="J226" s="507"/>
      <c r="K226" s="508">
        <f t="shared" si="4"/>
        <v>0</v>
      </c>
      <c r="L226" s="508"/>
      <c r="M226" s="508"/>
      <c r="N226" s="507">
        <f>((DSUM('4.1_Electricitat Illes Balears'!$E$20:$J$42,"emisiones",'6.1_Resultats Illes Balears'!E$71:E226)+DSUM('4.1_Electricitat Illes Balears'!$E$50:$K$70,"emisiones",'6.1_Resultats Illes Balears'!E$71:E226))/1000)-SUM(N$72:N225)</f>
        <v>0</v>
      </c>
      <c r="O226" s="508"/>
      <c r="P226" s="508">
        <f t="shared" si="5"/>
        <v>0</v>
      </c>
      <c r="Q226" s="508"/>
      <c r="R226" s="508"/>
    </row>
    <row r="227" spans="1:18" x14ac:dyDescent="0.3">
      <c r="A227" s="198"/>
      <c r="E227" s="197" t="str">
        <f>IF(Dades!E817="","",Dades!E817)</f>
        <v/>
      </c>
      <c r="F227" s="396">
        <f>(DSUM('1_Combustibles fòssils'!$E$17:$N$39,"emissions",'6.1_Resultats Illes Balears'!E$71:E227)/1000)-SUM(F$72:F226)</f>
        <v>0</v>
      </c>
      <c r="G227" s="396">
        <f>((DSUM('1_Combustibles fòssils'!$E$47:$U$67,"emissions1",'6.1_Resultats Illes Balears'!E$71:E227)+DSUM('1_Combustibles fòssils'!$E$47:$U$67,"emissions2",'6.1_Resultats Illes Balears'!E$71:E227))/1000)-SUM(G$72:G226)</f>
        <v>0</v>
      </c>
      <c r="H227" s="396">
        <f>(DSUM('2_Fluorats'!$E$11:$P$33,"emissions",'6.1_Resultats Illes Balears'!E$71:E227)/1000)-SUM(H$72:H226)</f>
        <v>0</v>
      </c>
      <c r="I227" s="507">
        <f>(DSUM('3_Emissions processos'!$E$13:$K$35,"emissions",'6.1_Resultats Illes Balears'!E$71:E227)/1000)-SUM(I$72:I226)</f>
        <v>0</v>
      </c>
      <c r="J227" s="507"/>
      <c r="K227" s="508">
        <f t="shared" si="4"/>
        <v>0</v>
      </c>
      <c r="L227" s="508"/>
      <c r="M227" s="508"/>
      <c r="N227" s="507">
        <f>((DSUM('4.1_Electricitat Illes Balears'!$E$20:$J$42,"emisiones",'6.1_Resultats Illes Balears'!E$71:E227)+DSUM('4.1_Electricitat Illes Balears'!$E$50:$K$70,"emisiones",'6.1_Resultats Illes Balears'!E$71:E227))/1000)-SUM(N$72:N226)</f>
        <v>0</v>
      </c>
      <c r="O227" s="508"/>
      <c r="P227" s="508">
        <f t="shared" si="5"/>
        <v>0</v>
      </c>
      <c r="Q227" s="508"/>
      <c r="R227" s="508"/>
    </row>
    <row r="228" spans="1:18" x14ac:dyDescent="0.3">
      <c r="A228" s="198"/>
      <c r="E228" s="197" t="str">
        <f>IF(Dades!E818="","",Dades!E818)</f>
        <v/>
      </c>
      <c r="F228" s="396">
        <f>(DSUM('1_Combustibles fòssils'!$E$17:$N$39,"emissions",'6.1_Resultats Illes Balears'!E$71:E228)/1000)-SUM(F$72:F227)</f>
        <v>0</v>
      </c>
      <c r="G228" s="396">
        <f>((DSUM('1_Combustibles fòssils'!$E$47:$U$67,"emissions1",'6.1_Resultats Illes Balears'!E$71:E228)+DSUM('1_Combustibles fòssils'!$E$47:$U$67,"emissions2",'6.1_Resultats Illes Balears'!E$71:E228))/1000)-SUM(G$72:G227)</f>
        <v>0</v>
      </c>
      <c r="H228" s="396">
        <f>(DSUM('2_Fluorats'!$E$11:$P$33,"emissions",'6.1_Resultats Illes Balears'!E$71:E228)/1000)-SUM(H$72:H227)</f>
        <v>0</v>
      </c>
      <c r="I228" s="507">
        <f>(DSUM('3_Emissions processos'!$E$13:$K$35,"emissions",'6.1_Resultats Illes Balears'!E$71:E228)/1000)-SUM(I$72:I227)</f>
        <v>0</v>
      </c>
      <c r="J228" s="507"/>
      <c r="K228" s="508">
        <f t="shared" si="4"/>
        <v>0</v>
      </c>
      <c r="L228" s="508"/>
      <c r="M228" s="508"/>
      <c r="N228" s="507">
        <f>((DSUM('4.1_Electricitat Illes Balears'!$E$20:$J$42,"emisiones",'6.1_Resultats Illes Balears'!E$71:E228)+DSUM('4.1_Electricitat Illes Balears'!$E$50:$K$70,"emisiones",'6.1_Resultats Illes Balears'!E$71:E228))/1000)-SUM(N$72:N227)</f>
        <v>0</v>
      </c>
      <c r="O228" s="508"/>
      <c r="P228" s="508">
        <f t="shared" si="5"/>
        <v>0</v>
      </c>
      <c r="Q228" s="508"/>
      <c r="R228" s="508"/>
    </row>
    <row r="229" spans="1:18" x14ac:dyDescent="0.3">
      <c r="A229" s="198"/>
      <c r="E229" s="197" t="str">
        <f>IF(Dades!E819="","",Dades!E819)</f>
        <v/>
      </c>
      <c r="F229" s="396">
        <f>(DSUM('1_Combustibles fòssils'!$E$17:$N$39,"emissions",'6.1_Resultats Illes Balears'!E$71:E229)/1000)-SUM(F$72:F228)</f>
        <v>0</v>
      </c>
      <c r="G229" s="396">
        <f>((DSUM('1_Combustibles fòssils'!$E$47:$U$67,"emissions1",'6.1_Resultats Illes Balears'!E$71:E229)+DSUM('1_Combustibles fòssils'!$E$47:$U$67,"emissions2",'6.1_Resultats Illes Balears'!E$71:E229))/1000)-SUM(G$72:G228)</f>
        <v>0</v>
      </c>
      <c r="H229" s="396">
        <f>(DSUM('2_Fluorats'!$E$11:$P$33,"emissions",'6.1_Resultats Illes Balears'!E$71:E229)/1000)-SUM(H$72:H228)</f>
        <v>0</v>
      </c>
      <c r="I229" s="507">
        <f>(DSUM('3_Emissions processos'!$E$13:$K$35,"emissions",'6.1_Resultats Illes Balears'!E$71:E229)/1000)-SUM(I$72:I228)</f>
        <v>0</v>
      </c>
      <c r="J229" s="507"/>
      <c r="K229" s="508">
        <f t="shared" si="4"/>
        <v>0</v>
      </c>
      <c r="L229" s="508"/>
      <c r="M229" s="508"/>
      <c r="N229" s="507">
        <f>((DSUM('4.1_Electricitat Illes Balears'!$E$20:$J$42,"emisiones",'6.1_Resultats Illes Balears'!E$71:E229)+DSUM('4.1_Electricitat Illes Balears'!$E$50:$K$70,"emisiones",'6.1_Resultats Illes Balears'!E$71:E229))/1000)-SUM(N$72:N228)</f>
        <v>0</v>
      </c>
      <c r="O229" s="508"/>
      <c r="P229" s="508">
        <f t="shared" si="5"/>
        <v>0</v>
      </c>
      <c r="Q229" s="508"/>
      <c r="R229" s="508"/>
    </row>
    <row r="230" spans="1:18" x14ac:dyDescent="0.3">
      <c r="A230" s="198"/>
      <c r="E230" s="197" t="str">
        <f>IF(Dades!E820="","",Dades!E820)</f>
        <v/>
      </c>
      <c r="F230" s="396">
        <f>(DSUM('1_Combustibles fòssils'!$E$17:$N$39,"emissions",'6.1_Resultats Illes Balears'!E$71:E230)/1000)-SUM(F$72:F229)</f>
        <v>0</v>
      </c>
      <c r="G230" s="396">
        <f>((DSUM('1_Combustibles fòssils'!$E$47:$U$67,"emissions1",'6.1_Resultats Illes Balears'!E$71:E230)+DSUM('1_Combustibles fòssils'!$E$47:$U$67,"emissions2",'6.1_Resultats Illes Balears'!E$71:E230))/1000)-SUM(G$72:G229)</f>
        <v>0</v>
      </c>
      <c r="H230" s="396">
        <f>(DSUM('2_Fluorats'!$E$11:$P$33,"emissions",'6.1_Resultats Illes Balears'!E$71:E230)/1000)-SUM(H$72:H229)</f>
        <v>0</v>
      </c>
      <c r="I230" s="507">
        <f>(DSUM('3_Emissions processos'!$E$13:$K$35,"emissions",'6.1_Resultats Illes Balears'!E$71:E230)/1000)-SUM(I$72:I229)</f>
        <v>0</v>
      </c>
      <c r="J230" s="507"/>
      <c r="K230" s="508">
        <f t="shared" si="4"/>
        <v>0</v>
      </c>
      <c r="L230" s="508"/>
      <c r="M230" s="508"/>
      <c r="N230" s="507">
        <f>((DSUM('4.1_Electricitat Illes Balears'!$E$20:$J$42,"emisiones",'6.1_Resultats Illes Balears'!E$71:E230)+DSUM('4.1_Electricitat Illes Balears'!$E$50:$K$70,"emisiones",'6.1_Resultats Illes Balears'!E$71:E230))/1000)-SUM(N$72:N229)</f>
        <v>0</v>
      </c>
      <c r="O230" s="508"/>
      <c r="P230" s="508">
        <f t="shared" si="5"/>
        <v>0</v>
      </c>
      <c r="Q230" s="508"/>
      <c r="R230" s="508"/>
    </row>
    <row r="231" spans="1:18" x14ac:dyDescent="0.3">
      <c r="A231" s="198"/>
      <c r="E231" s="197" t="str">
        <f>IF(Dades!E821="","",Dades!E821)</f>
        <v/>
      </c>
      <c r="F231" s="396">
        <f>(DSUM('1_Combustibles fòssils'!$E$17:$N$39,"emissions",'6.1_Resultats Illes Balears'!E$71:E231)/1000)-SUM(F$72:F230)</f>
        <v>0</v>
      </c>
      <c r="G231" s="396">
        <f>((DSUM('1_Combustibles fòssils'!$E$47:$U$67,"emissions1",'6.1_Resultats Illes Balears'!E$71:E231)+DSUM('1_Combustibles fòssils'!$E$47:$U$67,"emissions2",'6.1_Resultats Illes Balears'!E$71:E231))/1000)-SUM(G$72:G230)</f>
        <v>0</v>
      </c>
      <c r="H231" s="396">
        <f>(DSUM('2_Fluorats'!$E$11:$P$33,"emissions",'6.1_Resultats Illes Balears'!E$71:E231)/1000)-SUM(H$72:H230)</f>
        <v>0</v>
      </c>
      <c r="I231" s="507">
        <f>(DSUM('3_Emissions processos'!$E$13:$K$35,"emissions",'6.1_Resultats Illes Balears'!E$71:E231)/1000)-SUM(I$72:I230)</f>
        <v>0</v>
      </c>
      <c r="J231" s="507"/>
      <c r="K231" s="508">
        <f t="shared" si="4"/>
        <v>0</v>
      </c>
      <c r="L231" s="508"/>
      <c r="M231" s="508"/>
      <c r="N231" s="507">
        <f>((DSUM('4.1_Electricitat Illes Balears'!$E$20:$J$42,"emisiones",'6.1_Resultats Illes Balears'!E$71:E231)+DSUM('4.1_Electricitat Illes Balears'!$E$50:$K$70,"emisiones",'6.1_Resultats Illes Balears'!E$71:E231))/1000)-SUM(N$72:N230)</f>
        <v>0</v>
      </c>
      <c r="O231" s="508"/>
      <c r="P231" s="508">
        <f t="shared" si="5"/>
        <v>0</v>
      </c>
      <c r="Q231" s="508"/>
      <c r="R231" s="508"/>
    </row>
    <row r="232" spans="1:18" x14ac:dyDescent="0.3">
      <c r="A232" s="198"/>
      <c r="E232" s="197" t="str">
        <f>IF(Dades!E822="","",Dades!E822)</f>
        <v/>
      </c>
      <c r="F232" s="396">
        <f>(DSUM('1_Combustibles fòssils'!$E$17:$N$39,"emissions",'6.1_Resultats Illes Balears'!E$71:E232)/1000)-SUM(F$72:F231)</f>
        <v>0</v>
      </c>
      <c r="G232" s="396">
        <f>((DSUM('1_Combustibles fòssils'!$E$47:$U$67,"emissions1",'6.1_Resultats Illes Balears'!E$71:E232)+DSUM('1_Combustibles fòssils'!$E$47:$U$67,"emissions2",'6.1_Resultats Illes Balears'!E$71:E232))/1000)-SUM(G$72:G231)</f>
        <v>0</v>
      </c>
      <c r="H232" s="396">
        <f>(DSUM('2_Fluorats'!$E$11:$P$33,"emissions",'6.1_Resultats Illes Balears'!E$71:E232)/1000)-SUM(H$72:H231)</f>
        <v>0</v>
      </c>
      <c r="I232" s="507">
        <f>(DSUM('3_Emissions processos'!$E$13:$K$35,"emissions",'6.1_Resultats Illes Balears'!E$71:E232)/1000)-SUM(I$72:I231)</f>
        <v>0</v>
      </c>
      <c r="J232" s="507"/>
      <c r="K232" s="508">
        <f t="shared" si="4"/>
        <v>0</v>
      </c>
      <c r="L232" s="508"/>
      <c r="M232" s="508"/>
      <c r="N232" s="507">
        <f>((DSUM('4.1_Electricitat Illes Balears'!$E$20:$J$42,"emisiones",'6.1_Resultats Illes Balears'!E$71:E232)+DSUM('4.1_Electricitat Illes Balears'!$E$50:$K$70,"emisiones",'6.1_Resultats Illes Balears'!E$71:E232))/1000)-SUM(N$72:N231)</f>
        <v>0</v>
      </c>
      <c r="O232" s="508"/>
      <c r="P232" s="508">
        <f t="shared" si="5"/>
        <v>0</v>
      </c>
      <c r="Q232" s="508"/>
      <c r="R232" s="508"/>
    </row>
    <row r="233" spans="1:18" x14ac:dyDescent="0.3">
      <c r="A233" s="198"/>
      <c r="E233" s="197" t="str">
        <f>IF(Dades!E823="","",Dades!E823)</f>
        <v/>
      </c>
      <c r="F233" s="396">
        <f>(DSUM('1_Combustibles fòssils'!$E$17:$N$39,"emissions",'6.1_Resultats Illes Balears'!E$71:E233)/1000)-SUM(F$72:F232)</f>
        <v>0</v>
      </c>
      <c r="G233" s="396">
        <f>((DSUM('1_Combustibles fòssils'!$E$47:$U$67,"emissions1",'6.1_Resultats Illes Balears'!E$71:E233)+DSUM('1_Combustibles fòssils'!$E$47:$U$67,"emissions2",'6.1_Resultats Illes Balears'!E$71:E233))/1000)-SUM(G$72:G232)</f>
        <v>0</v>
      </c>
      <c r="H233" s="396">
        <f>(DSUM('2_Fluorats'!$E$11:$P$33,"emissions",'6.1_Resultats Illes Balears'!E$71:E233)/1000)-SUM(H$72:H232)</f>
        <v>0</v>
      </c>
      <c r="I233" s="507">
        <f>(DSUM('3_Emissions processos'!$E$13:$K$35,"emissions",'6.1_Resultats Illes Balears'!E$71:E233)/1000)-SUM(I$72:I232)</f>
        <v>0</v>
      </c>
      <c r="J233" s="507"/>
      <c r="K233" s="508">
        <f t="shared" si="4"/>
        <v>0</v>
      </c>
      <c r="L233" s="508"/>
      <c r="M233" s="508"/>
      <c r="N233" s="507">
        <f>((DSUM('4.1_Electricitat Illes Balears'!$E$20:$J$42,"emisiones",'6.1_Resultats Illes Balears'!E$71:E233)+DSUM('4.1_Electricitat Illes Balears'!$E$50:$K$70,"emisiones",'6.1_Resultats Illes Balears'!E$71:E233))/1000)-SUM(N$72:N232)</f>
        <v>0</v>
      </c>
      <c r="O233" s="508"/>
      <c r="P233" s="508">
        <f t="shared" si="5"/>
        <v>0</v>
      </c>
      <c r="Q233" s="508"/>
      <c r="R233" s="508"/>
    </row>
    <row r="234" spans="1:18" x14ac:dyDescent="0.3">
      <c r="A234" s="198"/>
      <c r="E234" s="197" t="str">
        <f>IF(Dades!E824="","",Dades!E824)</f>
        <v/>
      </c>
      <c r="F234" s="396">
        <f>(DSUM('1_Combustibles fòssils'!$E$17:$N$39,"emissions",'6.1_Resultats Illes Balears'!E$71:E234)/1000)-SUM(F$72:F233)</f>
        <v>0</v>
      </c>
      <c r="G234" s="396">
        <f>((DSUM('1_Combustibles fòssils'!$E$47:$U$67,"emissions1",'6.1_Resultats Illes Balears'!E$71:E234)+DSUM('1_Combustibles fòssils'!$E$47:$U$67,"emissions2",'6.1_Resultats Illes Balears'!E$71:E234))/1000)-SUM(G$72:G233)</f>
        <v>0</v>
      </c>
      <c r="H234" s="396">
        <f>(DSUM('2_Fluorats'!$E$11:$P$33,"emissions",'6.1_Resultats Illes Balears'!E$71:E234)/1000)-SUM(H$72:H233)</f>
        <v>0</v>
      </c>
      <c r="I234" s="507">
        <f>(DSUM('3_Emissions processos'!$E$13:$K$35,"emissions",'6.1_Resultats Illes Balears'!E$71:E234)/1000)-SUM(I$72:I233)</f>
        <v>0</v>
      </c>
      <c r="J234" s="507"/>
      <c r="K234" s="508">
        <f t="shared" si="4"/>
        <v>0</v>
      </c>
      <c r="L234" s="508"/>
      <c r="M234" s="508"/>
      <c r="N234" s="507">
        <f>((DSUM('4.1_Electricitat Illes Balears'!$E$20:$J$42,"emisiones",'6.1_Resultats Illes Balears'!E$71:E234)+DSUM('4.1_Electricitat Illes Balears'!$E$50:$K$70,"emisiones",'6.1_Resultats Illes Balears'!E$71:E234))/1000)-SUM(N$72:N233)</f>
        <v>0</v>
      </c>
      <c r="O234" s="508"/>
      <c r="P234" s="508">
        <f t="shared" si="5"/>
        <v>0</v>
      </c>
      <c r="Q234" s="508"/>
      <c r="R234" s="508"/>
    </row>
    <row r="235" spans="1:18" x14ac:dyDescent="0.3">
      <c r="A235" s="198"/>
      <c r="E235" s="197" t="str">
        <f>IF(Dades!E825="","",Dades!E825)</f>
        <v/>
      </c>
      <c r="F235" s="396">
        <f>(DSUM('1_Combustibles fòssils'!$E$17:$N$39,"emissions",'6.1_Resultats Illes Balears'!E$71:E235)/1000)-SUM(F$72:F234)</f>
        <v>0</v>
      </c>
      <c r="G235" s="396">
        <f>((DSUM('1_Combustibles fòssils'!$E$47:$U$67,"emissions1",'6.1_Resultats Illes Balears'!E$71:E235)+DSUM('1_Combustibles fòssils'!$E$47:$U$67,"emissions2",'6.1_Resultats Illes Balears'!E$71:E235))/1000)-SUM(G$72:G234)</f>
        <v>0</v>
      </c>
      <c r="H235" s="396">
        <f>(DSUM('2_Fluorats'!$E$11:$P$33,"emissions",'6.1_Resultats Illes Balears'!E$71:E235)/1000)-SUM(H$72:H234)</f>
        <v>0</v>
      </c>
      <c r="I235" s="507">
        <f>(DSUM('3_Emissions processos'!$E$13:$K$35,"emissions",'6.1_Resultats Illes Balears'!E$71:E235)/1000)-SUM(I$72:I234)</f>
        <v>0</v>
      </c>
      <c r="J235" s="507"/>
      <c r="K235" s="508">
        <f t="shared" si="4"/>
        <v>0</v>
      </c>
      <c r="L235" s="508"/>
      <c r="M235" s="508"/>
      <c r="N235" s="507">
        <f>((DSUM('4.1_Electricitat Illes Balears'!$E$20:$J$42,"emisiones",'6.1_Resultats Illes Balears'!E$71:E235)+DSUM('4.1_Electricitat Illes Balears'!$E$50:$K$70,"emisiones",'6.1_Resultats Illes Balears'!E$71:E235))/1000)-SUM(N$72:N234)</f>
        <v>0</v>
      </c>
      <c r="O235" s="508"/>
      <c r="P235" s="508">
        <f t="shared" si="5"/>
        <v>0</v>
      </c>
      <c r="Q235" s="508"/>
      <c r="R235" s="508"/>
    </row>
    <row r="236" spans="1:18" x14ac:dyDescent="0.3">
      <c r="A236" s="198"/>
      <c r="E236" s="197" t="str">
        <f>IF(Dades!E826="","",Dades!E826)</f>
        <v/>
      </c>
      <c r="F236" s="396">
        <f>(DSUM('1_Combustibles fòssils'!$E$17:$N$39,"emissions",'6.1_Resultats Illes Balears'!E$71:E236)/1000)-SUM(F$72:F235)</f>
        <v>0</v>
      </c>
      <c r="G236" s="396">
        <f>((DSUM('1_Combustibles fòssils'!$E$47:$U$67,"emissions1",'6.1_Resultats Illes Balears'!E$71:E236)+DSUM('1_Combustibles fòssils'!$E$47:$U$67,"emissions2",'6.1_Resultats Illes Balears'!E$71:E236))/1000)-SUM(G$72:G235)</f>
        <v>0</v>
      </c>
      <c r="H236" s="396">
        <f>(DSUM('2_Fluorats'!$E$11:$P$33,"emissions",'6.1_Resultats Illes Balears'!E$71:E236)/1000)-SUM(H$72:H235)</f>
        <v>0</v>
      </c>
      <c r="I236" s="507">
        <f>(DSUM('3_Emissions processos'!$E$13:$K$35,"emissions",'6.1_Resultats Illes Balears'!E$71:E236)/1000)-SUM(I$72:I235)</f>
        <v>0</v>
      </c>
      <c r="J236" s="507"/>
      <c r="K236" s="508">
        <f t="shared" si="4"/>
        <v>0</v>
      </c>
      <c r="L236" s="508"/>
      <c r="M236" s="508"/>
      <c r="N236" s="507">
        <f>((DSUM('4.1_Electricitat Illes Balears'!$E$20:$J$42,"emisiones",'6.1_Resultats Illes Balears'!E$71:E236)+DSUM('4.1_Electricitat Illes Balears'!$E$50:$K$70,"emisiones",'6.1_Resultats Illes Balears'!E$71:E236))/1000)-SUM(N$72:N235)</f>
        <v>0</v>
      </c>
      <c r="O236" s="508"/>
      <c r="P236" s="508">
        <f t="shared" si="5"/>
        <v>0</v>
      </c>
      <c r="Q236" s="508"/>
      <c r="R236" s="508"/>
    </row>
    <row r="237" spans="1:18" x14ac:dyDescent="0.3">
      <c r="A237" s="198"/>
      <c r="E237" s="197" t="str">
        <f>IF(Dades!E827="","",Dades!E827)</f>
        <v/>
      </c>
      <c r="F237" s="396">
        <f>(DSUM('1_Combustibles fòssils'!$E$17:$N$39,"emissions",'6.1_Resultats Illes Balears'!E$71:E237)/1000)-SUM(F$72:F236)</f>
        <v>0</v>
      </c>
      <c r="G237" s="396">
        <f>((DSUM('1_Combustibles fòssils'!$E$47:$U$67,"emissions1",'6.1_Resultats Illes Balears'!E$71:E237)+DSUM('1_Combustibles fòssils'!$E$47:$U$67,"emissions2",'6.1_Resultats Illes Balears'!E$71:E237))/1000)-SUM(G$72:G236)</f>
        <v>0</v>
      </c>
      <c r="H237" s="396">
        <f>(DSUM('2_Fluorats'!$E$11:$P$33,"emissions",'6.1_Resultats Illes Balears'!E$71:E237)/1000)-SUM(H$72:H236)</f>
        <v>0</v>
      </c>
      <c r="I237" s="507">
        <f>(DSUM('3_Emissions processos'!$E$13:$K$35,"emissions",'6.1_Resultats Illes Balears'!E$71:E237)/1000)-SUM(I$72:I236)</f>
        <v>0</v>
      </c>
      <c r="J237" s="507"/>
      <c r="K237" s="508">
        <f t="shared" si="4"/>
        <v>0</v>
      </c>
      <c r="L237" s="508"/>
      <c r="M237" s="508"/>
      <c r="N237" s="507">
        <f>((DSUM('4.1_Electricitat Illes Balears'!$E$20:$J$42,"emisiones",'6.1_Resultats Illes Balears'!E$71:E237)+DSUM('4.1_Electricitat Illes Balears'!$E$50:$K$70,"emisiones",'6.1_Resultats Illes Balears'!E$71:E237))/1000)-SUM(N$72:N236)</f>
        <v>0</v>
      </c>
      <c r="O237" s="508"/>
      <c r="P237" s="508">
        <f t="shared" si="5"/>
        <v>0</v>
      </c>
      <c r="Q237" s="508"/>
      <c r="R237" s="508"/>
    </row>
    <row r="238" spans="1:18" x14ac:dyDescent="0.3">
      <c r="A238" s="198"/>
      <c r="E238" s="197" t="str">
        <f>IF(Dades!E828="","",Dades!E828)</f>
        <v/>
      </c>
      <c r="F238" s="396">
        <f>(DSUM('1_Combustibles fòssils'!$E$17:$N$39,"emissions",'6.1_Resultats Illes Balears'!E$71:E238)/1000)-SUM(F$72:F237)</f>
        <v>0</v>
      </c>
      <c r="G238" s="396">
        <f>((DSUM('1_Combustibles fòssils'!$E$47:$U$67,"emissions1",'6.1_Resultats Illes Balears'!E$71:E238)+DSUM('1_Combustibles fòssils'!$E$47:$U$67,"emissions2",'6.1_Resultats Illes Balears'!E$71:E238))/1000)-SUM(G$72:G237)</f>
        <v>0</v>
      </c>
      <c r="H238" s="396">
        <f>(DSUM('2_Fluorats'!$E$11:$P$33,"emissions",'6.1_Resultats Illes Balears'!E$71:E238)/1000)-SUM(H$72:H237)</f>
        <v>0</v>
      </c>
      <c r="I238" s="507">
        <f>(DSUM('3_Emissions processos'!$E$13:$K$35,"emissions",'6.1_Resultats Illes Balears'!E$71:E238)/1000)-SUM(I$72:I237)</f>
        <v>0</v>
      </c>
      <c r="J238" s="507"/>
      <c r="K238" s="508">
        <f t="shared" si="4"/>
        <v>0</v>
      </c>
      <c r="L238" s="508"/>
      <c r="M238" s="508"/>
      <c r="N238" s="507">
        <f>((DSUM('4.1_Electricitat Illes Balears'!$E$20:$J$42,"emisiones",'6.1_Resultats Illes Balears'!E$71:E238)+DSUM('4.1_Electricitat Illes Balears'!$E$50:$K$70,"emisiones",'6.1_Resultats Illes Balears'!E$71:E238))/1000)-SUM(N$72:N237)</f>
        <v>0</v>
      </c>
      <c r="O238" s="508"/>
      <c r="P238" s="508">
        <f t="shared" si="5"/>
        <v>0</v>
      </c>
      <c r="Q238" s="508"/>
      <c r="R238" s="508"/>
    </row>
    <row r="239" spans="1:18" x14ac:dyDescent="0.3">
      <c r="A239" s="198"/>
      <c r="E239" s="197" t="str">
        <f>IF(Dades!E829="","",Dades!E829)</f>
        <v/>
      </c>
      <c r="F239" s="396">
        <f>(DSUM('1_Combustibles fòssils'!$E$17:$N$39,"emissions",'6.1_Resultats Illes Balears'!E$71:E239)/1000)-SUM(F$72:F238)</f>
        <v>0</v>
      </c>
      <c r="G239" s="396">
        <f>((DSUM('1_Combustibles fòssils'!$E$47:$U$67,"emissions1",'6.1_Resultats Illes Balears'!E$71:E239)+DSUM('1_Combustibles fòssils'!$E$47:$U$67,"emissions2",'6.1_Resultats Illes Balears'!E$71:E239))/1000)-SUM(G$72:G238)</f>
        <v>0</v>
      </c>
      <c r="H239" s="396">
        <f>(DSUM('2_Fluorats'!$E$11:$P$33,"emissions",'6.1_Resultats Illes Balears'!E$71:E239)/1000)-SUM(H$72:H238)</f>
        <v>0</v>
      </c>
      <c r="I239" s="507">
        <f>(DSUM('3_Emissions processos'!$E$13:$K$35,"emissions",'6.1_Resultats Illes Balears'!E$71:E239)/1000)-SUM(I$72:I238)</f>
        <v>0</v>
      </c>
      <c r="J239" s="507"/>
      <c r="K239" s="508">
        <f t="shared" si="4"/>
        <v>0</v>
      </c>
      <c r="L239" s="508"/>
      <c r="M239" s="508"/>
      <c r="N239" s="507">
        <f>((DSUM('4.1_Electricitat Illes Balears'!$E$20:$J$42,"emisiones",'6.1_Resultats Illes Balears'!E$71:E239)+DSUM('4.1_Electricitat Illes Balears'!$E$50:$K$70,"emisiones",'6.1_Resultats Illes Balears'!E$71:E239))/1000)-SUM(N$72:N238)</f>
        <v>0</v>
      </c>
      <c r="O239" s="508"/>
      <c r="P239" s="508">
        <f t="shared" si="5"/>
        <v>0</v>
      </c>
      <c r="Q239" s="508"/>
      <c r="R239" s="508"/>
    </row>
    <row r="240" spans="1:18" x14ac:dyDescent="0.3">
      <c r="A240" s="198"/>
      <c r="E240" s="197" t="str">
        <f>IF(Dades!E830="","",Dades!E830)</f>
        <v/>
      </c>
      <c r="F240" s="396">
        <f>(DSUM('1_Combustibles fòssils'!$E$17:$N$39,"emissions",'6.1_Resultats Illes Balears'!E$71:E240)/1000)-SUM(F$72:F239)</f>
        <v>0</v>
      </c>
      <c r="G240" s="396">
        <f>((DSUM('1_Combustibles fòssils'!$E$47:$U$67,"emissions1",'6.1_Resultats Illes Balears'!E$71:E240)+DSUM('1_Combustibles fòssils'!$E$47:$U$67,"emissions2",'6.1_Resultats Illes Balears'!E$71:E240))/1000)-SUM(G$72:G239)</f>
        <v>0</v>
      </c>
      <c r="H240" s="396">
        <f>(DSUM('2_Fluorats'!$E$11:$P$33,"emissions",'6.1_Resultats Illes Balears'!E$71:E240)/1000)-SUM(H$72:H239)</f>
        <v>0</v>
      </c>
      <c r="I240" s="507">
        <f>(DSUM('3_Emissions processos'!$E$13:$K$35,"emissions",'6.1_Resultats Illes Balears'!E$71:E240)/1000)-SUM(I$72:I239)</f>
        <v>0</v>
      </c>
      <c r="J240" s="507"/>
      <c r="K240" s="508">
        <f t="shared" si="4"/>
        <v>0</v>
      </c>
      <c r="L240" s="508"/>
      <c r="M240" s="508"/>
      <c r="N240" s="507">
        <f>((DSUM('4.1_Electricitat Illes Balears'!$E$20:$J$42,"emisiones",'6.1_Resultats Illes Balears'!E$71:E240)+DSUM('4.1_Electricitat Illes Balears'!$E$50:$K$70,"emisiones",'6.1_Resultats Illes Balears'!E$71:E240))/1000)-SUM(N$72:N239)</f>
        <v>0</v>
      </c>
      <c r="O240" s="508"/>
      <c r="P240" s="508">
        <f t="shared" si="5"/>
        <v>0</v>
      </c>
      <c r="Q240" s="508"/>
      <c r="R240" s="508"/>
    </row>
    <row r="241" spans="1:18" x14ac:dyDescent="0.3">
      <c r="A241" s="198"/>
      <c r="E241" s="197" t="str">
        <f>IF(Dades!E831="","",Dades!E831)</f>
        <v/>
      </c>
      <c r="F241" s="396">
        <f>(DSUM('1_Combustibles fòssils'!$E$17:$N$39,"emissions",'6.1_Resultats Illes Balears'!E$71:E241)/1000)-SUM(F$72:F240)</f>
        <v>0</v>
      </c>
      <c r="G241" s="396">
        <f>((DSUM('1_Combustibles fòssils'!$E$47:$U$67,"emissions1",'6.1_Resultats Illes Balears'!E$71:E241)+DSUM('1_Combustibles fòssils'!$E$47:$U$67,"emissions2",'6.1_Resultats Illes Balears'!E$71:E241))/1000)-SUM(G$72:G240)</f>
        <v>0</v>
      </c>
      <c r="H241" s="396">
        <f>(DSUM('2_Fluorats'!$E$11:$P$33,"emissions",'6.1_Resultats Illes Balears'!E$71:E241)/1000)-SUM(H$72:H240)</f>
        <v>0</v>
      </c>
      <c r="I241" s="507">
        <f>(DSUM('3_Emissions processos'!$E$13:$K$35,"emissions",'6.1_Resultats Illes Balears'!E$71:E241)/1000)-SUM(I$72:I240)</f>
        <v>0</v>
      </c>
      <c r="J241" s="507"/>
      <c r="K241" s="508">
        <f t="shared" si="4"/>
        <v>0</v>
      </c>
      <c r="L241" s="508"/>
      <c r="M241" s="508"/>
      <c r="N241" s="507">
        <f>((DSUM('4.1_Electricitat Illes Balears'!$E$20:$J$42,"emisiones",'6.1_Resultats Illes Balears'!E$71:E241)+DSUM('4.1_Electricitat Illes Balears'!$E$50:$K$70,"emisiones",'6.1_Resultats Illes Balears'!E$71:E241))/1000)-SUM(N$72:N240)</f>
        <v>0</v>
      </c>
      <c r="O241" s="508"/>
      <c r="P241" s="508">
        <f t="shared" si="5"/>
        <v>0</v>
      </c>
      <c r="Q241" s="508"/>
      <c r="R241" s="508"/>
    </row>
    <row r="242" spans="1:18" x14ac:dyDescent="0.3">
      <c r="A242" s="198"/>
      <c r="E242" s="197" t="str">
        <f>IF(Dades!E832="","",Dades!E832)</f>
        <v/>
      </c>
      <c r="F242" s="396">
        <f>(DSUM('1_Combustibles fòssils'!$E$17:$N$39,"emissions",'6.1_Resultats Illes Balears'!E$71:E242)/1000)-SUM(F$72:F241)</f>
        <v>0</v>
      </c>
      <c r="G242" s="396">
        <f>((DSUM('1_Combustibles fòssils'!$E$47:$U$67,"emissions1",'6.1_Resultats Illes Balears'!E$71:E242)+DSUM('1_Combustibles fòssils'!$E$47:$U$67,"emissions2",'6.1_Resultats Illes Balears'!E$71:E242))/1000)-SUM(G$72:G241)</f>
        <v>0</v>
      </c>
      <c r="H242" s="396">
        <f>(DSUM('2_Fluorats'!$E$11:$P$33,"emissions",'6.1_Resultats Illes Balears'!E$71:E242)/1000)-SUM(H$72:H241)</f>
        <v>0</v>
      </c>
      <c r="I242" s="507">
        <f>(DSUM('3_Emissions processos'!$E$13:$K$35,"emissions",'6.1_Resultats Illes Balears'!E$71:E242)/1000)-SUM(I$72:I241)</f>
        <v>0</v>
      </c>
      <c r="J242" s="507"/>
      <c r="K242" s="508">
        <f t="shared" si="4"/>
        <v>0</v>
      </c>
      <c r="L242" s="508"/>
      <c r="M242" s="508"/>
      <c r="N242" s="507">
        <f>((DSUM('4.1_Electricitat Illes Balears'!$E$20:$J$42,"emisiones",'6.1_Resultats Illes Balears'!E$71:E242)+DSUM('4.1_Electricitat Illes Balears'!$E$50:$K$70,"emisiones",'6.1_Resultats Illes Balears'!E$71:E242))/1000)-SUM(N$72:N241)</f>
        <v>0</v>
      </c>
      <c r="O242" s="508"/>
      <c r="P242" s="508">
        <f t="shared" si="5"/>
        <v>0</v>
      </c>
      <c r="Q242" s="508"/>
      <c r="R242" s="508"/>
    </row>
    <row r="243" spans="1:18" x14ac:dyDescent="0.3">
      <c r="A243" s="198"/>
      <c r="E243" s="197" t="str">
        <f>IF(Dades!E833="","",Dades!E833)</f>
        <v/>
      </c>
      <c r="F243" s="396">
        <f>(DSUM('1_Combustibles fòssils'!$E$17:$N$39,"emissions",'6.1_Resultats Illes Balears'!E$71:E243)/1000)-SUM(F$72:F242)</f>
        <v>0</v>
      </c>
      <c r="G243" s="396">
        <f>((DSUM('1_Combustibles fòssils'!$E$47:$U$67,"emissions1",'6.1_Resultats Illes Balears'!E$71:E243)+DSUM('1_Combustibles fòssils'!$E$47:$U$67,"emissions2",'6.1_Resultats Illes Balears'!E$71:E243))/1000)-SUM(G$72:G242)</f>
        <v>0</v>
      </c>
      <c r="H243" s="396">
        <f>(DSUM('2_Fluorats'!$E$11:$P$33,"emissions",'6.1_Resultats Illes Balears'!E$71:E243)/1000)-SUM(H$72:H242)</f>
        <v>0</v>
      </c>
      <c r="I243" s="507">
        <f>(DSUM('3_Emissions processos'!$E$13:$K$35,"emissions",'6.1_Resultats Illes Balears'!E$71:E243)/1000)-SUM(I$72:I242)</f>
        <v>0</v>
      </c>
      <c r="J243" s="507"/>
      <c r="K243" s="508">
        <f t="shared" si="4"/>
        <v>0</v>
      </c>
      <c r="L243" s="508"/>
      <c r="M243" s="508"/>
      <c r="N243" s="507">
        <f>((DSUM('4.1_Electricitat Illes Balears'!$E$20:$J$42,"emisiones",'6.1_Resultats Illes Balears'!E$71:E243)+DSUM('4.1_Electricitat Illes Balears'!$E$50:$K$70,"emisiones",'6.1_Resultats Illes Balears'!E$71:E243))/1000)-SUM(N$72:N242)</f>
        <v>0</v>
      </c>
      <c r="O243" s="508"/>
      <c r="P243" s="508">
        <f t="shared" si="5"/>
        <v>0</v>
      </c>
      <c r="Q243" s="508"/>
      <c r="R243" s="508"/>
    </row>
    <row r="244" spans="1:18" x14ac:dyDescent="0.3">
      <c r="A244" s="198"/>
      <c r="E244" s="197" t="str">
        <f>IF(Dades!E834="","",Dades!E834)</f>
        <v/>
      </c>
      <c r="F244" s="396">
        <f>(DSUM('1_Combustibles fòssils'!$E$17:$N$39,"emissions",'6.1_Resultats Illes Balears'!E$71:E244)/1000)-SUM(F$72:F243)</f>
        <v>0</v>
      </c>
      <c r="G244" s="396">
        <f>((DSUM('1_Combustibles fòssils'!$E$47:$U$67,"emissions1",'6.1_Resultats Illes Balears'!E$71:E244)+DSUM('1_Combustibles fòssils'!$E$47:$U$67,"emissions2",'6.1_Resultats Illes Balears'!E$71:E244))/1000)-SUM(G$72:G243)</f>
        <v>0</v>
      </c>
      <c r="H244" s="396">
        <f>(DSUM('2_Fluorats'!$E$11:$P$33,"emissions",'6.1_Resultats Illes Balears'!E$71:E244)/1000)-SUM(H$72:H243)</f>
        <v>0</v>
      </c>
      <c r="I244" s="507">
        <f>(DSUM('3_Emissions processos'!$E$13:$K$35,"emissions",'6.1_Resultats Illes Balears'!E$71:E244)/1000)-SUM(I$72:I243)</f>
        <v>0</v>
      </c>
      <c r="J244" s="507"/>
      <c r="K244" s="508">
        <f t="shared" si="4"/>
        <v>0</v>
      </c>
      <c r="L244" s="508"/>
      <c r="M244" s="508"/>
      <c r="N244" s="507">
        <f>((DSUM('4.1_Electricitat Illes Balears'!$E$20:$J$42,"emisiones",'6.1_Resultats Illes Balears'!E$71:E244)+DSUM('4.1_Electricitat Illes Balears'!$E$50:$K$70,"emisiones",'6.1_Resultats Illes Balears'!E$71:E244))/1000)-SUM(N$72:N243)</f>
        <v>0</v>
      </c>
      <c r="O244" s="508"/>
      <c r="P244" s="508">
        <f t="shared" si="5"/>
        <v>0</v>
      </c>
      <c r="Q244" s="508"/>
      <c r="R244" s="508"/>
    </row>
    <row r="245" spans="1:18" x14ac:dyDescent="0.3">
      <c r="A245" s="198"/>
      <c r="E245" s="197" t="str">
        <f>IF(Dades!E835="","",Dades!E835)</f>
        <v/>
      </c>
      <c r="F245" s="396">
        <f>(DSUM('1_Combustibles fòssils'!$E$17:$N$39,"emissions",'6.1_Resultats Illes Balears'!E$71:E245)/1000)-SUM(F$72:F244)</f>
        <v>0</v>
      </c>
      <c r="G245" s="396">
        <f>((DSUM('1_Combustibles fòssils'!$E$47:$U$67,"emissions1",'6.1_Resultats Illes Balears'!E$71:E245)+DSUM('1_Combustibles fòssils'!$E$47:$U$67,"emissions2",'6.1_Resultats Illes Balears'!E$71:E245))/1000)-SUM(G$72:G244)</f>
        <v>0</v>
      </c>
      <c r="H245" s="396">
        <f>(DSUM('2_Fluorats'!$E$11:$P$33,"emissions",'6.1_Resultats Illes Balears'!E$71:E245)/1000)-SUM(H$72:H244)</f>
        <v>0</v>
      </c>
      <c r="I245" s="507">
        <f>(DSUM('3_Emissions processos'!$E$13:$K$35,"emissions",'6.1_Resultats Illes Balears'!E$71:E245)/1000)-SUM(I$72:I244)</f>
        <v>0</v>
      </c>
      <c r="J245" s="507"/>
      <c r="K245" s="508">
        <f t="shared" si="4"/>
        <v>0</v>
      </c>
      <c r="L245" s="508"/>
      <c r="M245" s="508"/>
      <c r="N245" s="507">
        <f>((DSUM('4.1_Electricitat Illes Balears'!$E$20:$J$42,"emisiones",'6.1_Resultats Illes Balears'!E$71:E245)+DSUM('4.1_Electricitat Illes Balears'!$E$50:$K$70,"emisiones",'6.1_Resultats Illes Balears'!E$71:E245))/1000)-SUM(N$72:N244)</f>
        <v>0</v>
      </c>
      <c r="O245" s="508"/>
      <c r="P245" s="508">
        <f t="shared" si="5"/>
        <v>0</v>
      </c>
      <c r="Q245" s="508"/>
      <c r="R245" s="508"/>
    </row>
    <row r="246" spans="1:18" x14ac:dyDescent="0.3">
      <c r="A246" s="198"/>
      <c r="E246" s="197" t="str">
        <f>IF(Dades!E836="","",Dades!E836)</f>
        <v/>
      </c>
      <c r="F246" s="396">
        <f>(DSUM('1_Combustibles fòssils'!$E$17:$N$39,"emissions",'6.1_Resultats Illes Balears'!E$71:E246)/1000)-SUM(F$72:F245)</f>
        <v>0</v>
      </c>
      <c r="G246" s="396">
        <f>((DSUM('1_Combustibles fòssils'!$E$47:$U$67,"emissions1",'6.1_Resultats Illes Balears'!E$71:E246)+DSUM('1_Combustibles fòssils'!$E$47:$U$67,"emissions2",'6.1_Resultats Illes Balears'!E$71:E246))/1000)-SUM(G$72:G245)</f>
        <v>0</v>
      </c>
      <c r="H246" s="396">
        <f>(DSUM('2_Fluorats'!$E$11:$P$33,"emissions",'6.1_Resultats Illes Balears'!E$71:E246)/1000)-SUM(H$72:H245)</f>
        <v>0</v>
      </c>
      <c r="I246" s="507">
        <f>(DSUM('3_Emissions processos'!$E$13:$K$35,"emissions",'6.1_Resultats Illes Balears'!E$71:E246)/1000)-SUM(I$72:I245)</f>
        <v>0</v>
      </c>
      <c r="J246" s="507"/>
      <c r="K246" s="508">
        <f t="shared" si="4"/>
        <v>0</v>
      </c>
      <c r="L246" s="508"/>
      <c r="M246" s="508"/>
      <c r="N246" s="507">
        <f>((DSUM('4.1_Electricitat Illes Balears'!$E$20:$J$42,"emisiones",'6.1_Resultats Illes Balears'!E$71:E246)+DSUM('4.1_Electricitat Illes Balears'!$E$50:$K$70,"emisiones",'6.1_Resultats Illes Balears'!E$71:E246))/1000)-SUM(N$72:N245)</f>
        <v>0</v>
      </c>
      <c r="O246" s="508"/>
      <c r="P246" s="508">
        <f t="shared" si="5"/>
        <v>0</v>
      </c>
      <c r="Q246" s="508"/>
      <c r="R246" s="508"/>
    </row>
    <row r="247" spans="1:18" x14ac:dyDescent="0.3">
      <c r="A247" s="198"/>
      <c r="E247" s="197" t="str">
        <f>IF(Dades!E837="","",Dades!E837)</f>
        <v/>
      </c>
      <c r="F247" s="396">
        <f>(DSUM('1_Combustibles fòssils'!$E$17:$N$39,"emissions",'6.1_Resultats Illes Balears'!E$71:E247)/1000)-SUM(F$72:F246)</f>
        <v>0</v>
      </c>
      <c r="G247" s="396">
        <f>((DSUM('1_Combustibles fòssils'!$E$47:$U$67,"emissions1",'6.1_Resultats Illes Balears'!E$71:E247)+DSUM('1_Combustibles fòssils'!$E$47:$U$67,"emissions2",'6.1_Resultats Illes Balears'!E$71:E247))/1000)-SUM(G$72:G246)</f>
        <v>0</v>
      </c>
      <c r="H247" s="396">
        <f>(DSUM('2_Fluorats'!$E$11:$P$33,"emissions",'6.1_Resultats Illes Balears'!E$71:E247)/1000)-SUM(H$72:H246)</f>
        <v>0</v>
      </c>
      <c r="I247" s="507">
        <f>(DSUM('3_Emissions processos'!$E$13:$K$35,"emissions",'6.1_Resultats Illes Balears'!E$71:E247)/1000)-SUM(I$72:I246)</f>
        <v>0</v>
      </c>
      <c r="J247" s="507"/>
      <c r="K247" s="508">
        <f t="shared" si="4"/>
        <v>0</v>
      </c>
      <c r="L247" s="508"/>
      <c r="M247" s="508"/>
      <c r="N247" s="507">
        <f>((DSUM('4.1_Electricitat Illes Balears'!$E$20:$J$42,"emisiones",'6.1_Resultats Illes Balears'!E$71:E247)+DSUM('4.1_Electricitat Illes Balears'!$E$50:$K$70,"emisiones",'6.1_Resultats Illes Balears'!E$71:E247))/1000)-SUM(N$72:N246)</f>
        <v>0</v>
      </c>
      <c r="O247" s="508"/>
      <c r="P247" s="508">
        <f t="shared" si="5"/>
        <v>0</v>
      </c>
      <c r="Q247" s="508"/>
      <c r="R247" s="508"/>
    </row>
    <row r="248" spans="1:18" x14ac:dyDescent="0.3">
      <c r="A248" s="198"/>
      <c r="E248" s="197" t="str">
        <f>IF(Dades!E838="","",Dades!E838)</f>
        <v/>
      </c>
      <c r="F248" s="396">
        <f>(DSUM('1_Combustibles fòssils'!$E$17:$N$39,"emissions",'6.1_Resultats Illes Balears'!E$71:E248)/1000)-SUM(F$72:F247)</f>
        <v>0</v>
      </c>
      <c r="G248" s="396">
        <f>((DSUM('1_Combustibles fòssils'!$E$47:$U$67,"emissions1",'6.1_Resultats Illes Balears'!E$71:E248)+DSUM('1_Combustibles fòssils'!$E$47:$U$67,"emissions2",'6.1_Resultats Illes Balears'!E$71:E248))/1000)-SUM(G$72:G247)</f>
        <v>0</v>
      </c>
      <c r="H248" s="396">
        <f>(DSUM('2_Fluorats'!$E$11:$P$33,"emissions",'6.1_Resultats Illes Balears'!E$71:E248)/1000)-SUM(H$72:H247)</f>
        <v>0</v>
      </c>
      <c r="I248" s="507">
        <f>(DSUM('3_Emissions processos'!$E$13:$K$35,"emissions",'6.1_Resultats Illes Balears'!E$71:E248)/1000)-SUM(I$72:I247)</f>
        <v>0</v>
      </c>
      <c r="J248" s="507"/>
      <c r="K248" s="508">
        <f t="shared" si="4"/>
        <v>0</v>
      </c>
      <c r="L248" s="508"/>
      <c r="M248" s="508"/>
      <c r="N248" s="507">
        <f>((DSUM('4.1_Electricitat Illes Balears'!$E$20:$J$42,"emisiones",'6.1_Resultats Illes Balears'!E$71:E248)+DSUM('4.1_Electricitat Illes Balears'!$E$50:$K$70,"emisiones",'6.1_Resultats Illes Balears'!E$71:E248))/1000)-SUM(N$72:N247)</f>
        <v>0</v>
      </c>
      <c r="O248" s="508"/>
      <c r="P248" s="508">
        <f t="shared" si="5"/>
        <v>0</v>
      </c>
      <c r="Q248" s="508"/>
      <c r="R248" s="508"/>
    </row>
    <row r="249" spans="1:18" x14ac:dyDescent="0.3">
      <c r="A249" s="198"/>
      <c r="E249" s="197" t="str">
        <f>IF(Dades!E839="","",Dades!E839)</f>
        <v/>
      </c>
      <c r="F249" s="396">
        <f>(DSUM('1_Combustibles fòssils'!$E$17:$N$39,"emissions",'6.1_Resultats Illes Balears'!E$71:E249)/1000)-SUM(F$72:F248)</f>
        <v>0</v>
      </c>
      <c r="G249" s="396">
        <f>((DSUM('1_Combustibles fòssils'!$E$47:$U$67,"emissions1",'6.1_Resultats Illes Balears'!E$71:E249)+DSUM('1_Combustibles fòssils'!$E$47:$U$67,"emissions2",'6.1_Resultats Illes Balears'!E$71:E249))/1000)-SUM(G$72:G248)</f>
        <v>0</v>
      </c>
      <c r="H249" s="396">
        <f>(DSUM('2_Fluorats'!$E$11:$P$33,"emissions",'6.1_Resultats Illes Balears'!E$71:E249)/1000)-SUM(H$72:H248)</f>
        <v>0</v>
      </c>
      <c r="I249" s="507">
        <f>(DSUM('3_Emissions processos'!$E$13:$K$35,"emissions",'6.1_Resultats Illes Balears'!E$71:E249)/1000)-SUM(I$72:I248)</f>
        <v>0</v>
      </c>
      <c r="J249" s="507"/>
      <c r="K249" s="508">
        <f t="shared" si="4"/>
        <v>0</v>
      </c>
      <c r="L249" s="508"/>
      <c r="M249" s="508"/>
      <c r="N249" s="507">
        <f>((DSUM('4.1_Electricitat Illes Balears'!$E$20:$J$42,"emisiones",'6.1_Resultats Illes Balears'!E$71:E249)+DSUM('4.1_Electricitat Illes Balears'!$E$50:$K$70,"emisiones",'6.1_Resultats Illes Balears'!E$71:E249))/1000)-SUM(N$72:N248)</f>
        <v>0</v>
      </c>
      <c r="O249" s="508"/>
      <c r="P249" s="508">
        <f t="shared" si="5"/>
        <v>0</v>
      </c>
      <c r="Q249" s="508"/>
      <c r="R249" s="508"/>
    </row>
    <row r="250" spans="1:18" x14ac:dyDescent="0.3">
      <c r="A250" s="198"/>
      <c r="E250" s="197" t="str">
        <f>IF(Dades!E840="","",Dades!E840)</f>
        <v/>
      </c>
      <c r="F250" s="396">
        <f>(DSUM('1_Combustibles fòssils'!$E$17:$N$39,"emissions",'6.1_Resultats Illes Balears'!E$71:E250)/1000)-SUM(F$72:F249)</f>
        <v>0</v>
      </c>
      <c r="G250" s="396">
        <f>((DSUM('1_Combustibles fòssils'!$E$47:$U$67,"emissions1",'6.1_Resultats Illes Balears'!E$71:E250)+DSUM('1_Combustibles fòssils'!$E$47:$U$67,"emissions2",'6.1_Resultats Illes Balears'!E$71:E250))/1000)-SUM(G$72:G249)</f>
        <v>0</v>
      </c>
      <c r="H250" s="396">
        <f>(DSUM('2_Fluorats'!$E$11:$P$33,"emissions",'6.1_Resultats Illes Balears'!E$71:E250)/1000)-SUM(H$72:H249)</f>
        <v>0</v>
      </c>
      <c r="I250" s="507">
        <f>(DSUM('3_Emissions processos'!$E$13:$K$35,"emissions",'6.1_Resultats Illes Balears'!E$71:E250)/1000)-SUM(I$72:I249)</f>
        <v>0</v>
      </c>
      <c r="J250" s="507"/>
      <c r="K250" s="508">
        <f t="shared" si="4"/>
        <v>0</v>
      </c>
      <c r="L250" s="508"/>
      <c r="M250" s="508"/>
      <c r="N250" s="507">
        <f>((DSUM('4.1_Electricitat Illes Balears'!$E$20:$J$42,"emisiones",'6.1_Resultats Illes Balears'!E$71:E250)+DSUM('4.1_Electricitat Illes Balears'!$E$50:$K$70,"emisiones",'6.1_Resultats Illes Balears'!E$71:E250))/1000)-SUM(N$72:N249)</f>
        <v>0</v>
      </c>
      <c r="O250" s="508"/>
      <c r="P250" s="508">
        <f t="shared" si="5"/>
        <v>0</v>
      </c>
      <c r="Q250" s="508"/>
      <c r="R250" s="508"/>
    </row>
    <row r="251" spans="1:18" x14ac:dyDescent="0.3">
      <c r="A251" s="198"/>
      <c r="E251" s="197" t="str">
        <f>IF(Dades!E841="","",Dades!E841)</f>
        <v/>
      </c>
      <c r="F251" s="396">
        <f>(DSUM('1_Combustibles fòssils'!$E$17:$N$39,"emissions",'6.1_Resultats Illes Balears'!E$71:E251)/1000)-SUM(F$72:F250)</f>
        <v>0</v>
      </c>
      <c r="G251" s="396">
        <f>((DSUM('1_Combustibles fòssils'!$E$47:$U$67,"emissions1",'6.1_Resultats Illes Balears'!E$71:E251)+DSUM('1_Combustibles fòssils'!$E$47:$U$67,"emissions2",'6.1_Resultats Illes Balears'!E$71:E251))/1000)-SUM(G$72:G250)</f>
        <v>0</v>
      </c>
      <c r="H251" s="396">
        <f>(DSUM('2_Fluorats'!$E$11:$P$33,"emissions",'6.1_Resultats Illes Balears'!E$71:E251)/1000)-SUM(H$72:H250)</f>
        <v>0</v>
      </c>
      <c r="I251" s="507">
        <f>(DSUM('3_Emissions processos'!$E$13:$K$35,"emissions",'6.1_Resultats Illes Balears'!E$71:E251)/1000)-SUM(I$72:I250)</f>
        <v>0</v>
      </c>
      <c r="J251" s="507"/>
      <c r="K251" s="508">
        <f t="shared" si="4"/>
        <v>0</v>
      </c>
      <c r="L251" s="508"/>
      <c r="M251" s="508"/>
      <c r="N251" s="507">
        <f>((DSUM('4.1_Electricitat Illes Balears'!$E$20:$J$42,"emisiones",'6.1_Resultats Illes Balears'!E$71:E251)+DSUM('4.1_Electricitat Illes Balears'!$E$50:$K$70,"emisiones",'6.1_Resultats Illes Balears'!E$71:E251))/1000)-SUM(N$72:N250)</f>
        <v>0</v>
      </c>
      <c r="O251" s="508"/>
      <c r="P251" s="508">
        <f t="shared" si="5"/>
        <v>0</v>
      </c>
      <c r="Q251" s="508"/>
      <c r="R251" s="508"/>
    </row>
    <row r="252" spans="1:18" x14ac:dyDescent="0.3">
      <c r="A252" s="198"/>
      <c r="E252" s="197" t="str">
        <f>IF(Dades!E842="","",Dades!E842)</f>
        <v/>
      </c>
      <c r="F252" s="396">
        <f>(DSUM('1_Combustibles fòssils'!$E$17:$N$39,"emissions",'6.1_Resultats Illes Balears'!E$71:E252)/1000)-SUM(F$72:F251)</f>
        <v>0</v>
      </c>
      <c r="G252" s="396">
        <f>((DSUM('1_Combustibles fòssils'!$E$47:$U$67,"emissions1",'6.1_Resultats Illes Balears'!E$71:E252)+DSUM('1_Combustibles fòssils'!$E$47:$U$67,"emissions2",'6.1_Resultats Illes Balears'!E$71:E252))/1000)-SUM(G$72:G251)</f>
        <v>0</v>
      </c>
      <c r="H252" s="396">
        <f>(DSUM('2_Fluorats'!$E$11:$P$33,"emissions",'6.1_Resultats Illes Balears'!E$71:E252)/1000)-SUM(H$72:H251)</f>
        <v>0</v>
      </c>
      <c r="I252" s="507">
        <f>(DSUM('3_Emissions processos'!$E$13:$K$35,"emissions",'6.1_Resultats Illes Balears'!E$71:E252)/1000)-SUM(I$72:I251)</f>
        <v>0</v>
      </c>
      <c r="J252" s="507"/>
      <c r="K252" s="508">
        <f t="shared" si="4"/>
        <v>0</v>
      </c>
      <c r="L252" s="508"/>
      <c r="M252" s="508"/>
      <c r="N252" s="507">
        <f>((DSUM('4.1_Electricitat Illes Balears'!$E$20:$J$42,"emisiones",'6.1_Resultats Illes Balears'!E$71:E252)+DSUM('4.1_Electricitat Illes Balears'!$E$50:$K$70,"emisiones",'6.1_Resultats Illes Balears'!E$71:E252))/1000)-SUM(N$72:N251)</f>
        <v>0</v>
      </c>
      <c r="O252" s="508"/>
      <c r="P252" s="508">
        <f t="shared" si="5"/>
        <v>0</v>
      </c>
      <c r="Q252" s="508"/>
      <c r="R252" s="508"/>
    </row>
    <row r="253" spans="1:18" x14ac:dyDescent="0.3">
      <c r="A253" s="198"/>
      <c r="E253" s="197" t="str">
        <f>IF(Dades!E843="","",Dades!E843)</f>
        <v/>
      </c>
      <c r="F253" s="396">
        <f>(DSUM('1_Combustibles fòssils'!$E$17:$N$39,"emissions",'6.1_Resultats Illes Balears'!E$71:E253)/1000)-SUM(F$72:F252)</f>
        <v>0</v>
      </c>
      <c r="G253" s="396">
        <f>((DSUM('1_Combustibles fòssils'!$E$47:$U$67,"emissions1",'6.1_Resultats Illes Balears'!E$71:E253)+DSUM('1_Combustibles fòssils'!$E$47:$U$67,"emissions2",'6.1_Resultats Illes Balears'!E$71:E253))/1000)-SUM(G$72:G252)</f>
        <v>0</v>
      </c>
      <c r="H253" s="396">
        <f>(DSUM('2_Fluorats'!$E$11:$P$33,"emissions",'6.1_Resultats Illes Balears'!E$71:E253)/1000)-SUM(H$72:H252)</f>
        <v>0</v>
      </c>
      <c r="I253" s="507">
        <f>(DSUM('3_Emissions processos'!$E$13:$K$35,"emissions",'6.1_Resultats Illes Balears'!E$71:E253)/1000)-SUM(I$72:I252)</f>
        <v>0</v>
      </c>
      <c r="J253" s="507"/>
      <c r="K253" s="508">
        <f t="shared" si="4"/>
        <v>0</v>
      </c>
      <c r="L253" s="508"/>
      <c r="M253" s="508"/>
      <c r="N253" s="507">
        <f>((DSUM('4.1_Electricitat Illes Balears'!$E$20:$J$42,"emisiones",'6.1_Resultats Illes Balears'!E$71:E253)+DSUM('4.1_Electricitat Illes Balears'!$E$50:$K$70,"emisiones",'6.1_Resultats Illes Balears'!E$71:E253))/1000)-SUM(N$72:N252)</f>
        <v>0</v>
      </c>
      <c r="O253" s="508"/>
      <c r="P253" s="508">
        <f t="shared" si="5"/>
        <v>0</v>
      </c>
      <c r="Q253" s="508"/>
      <c r="R253" s="508"/>
    </row>
    <row r="254" spans="1:18" x14ac:dyDescent="0.3">
      <c r="A254" s="198"/>
      <c r="E254" s="197" t="str">
        <f>IF(Dades!E844="","",Dades!E844)</f>
        <v/>
      </c>
      <c r="F254" s="396">
        <f>(DSUM('1_Combustibles fòssils'!$E$17:$N$39,"emissions",'6.1_Resultats Illes Balears'!E$71:E254)/1000)-SUM(F$72:F253)</f>
        <v>0</v>
      </c>
      <c r="G254" s="396">
        <f>((DSUM('1_Combustibles fòssils'!$E$47:$U$67,"emissions1",'6.1_Resultats Illes Balears'!E$71:E254)+DSUM('1_Combustibles fòssils'!$E$47:$U$67,"emissions2",'6.1_Resultats Illes Balears'!E$71:E254))/1000)-SUM(G$72:G253)</f>
        <v>0</v>
      </c>
      <c r="H254" s="396">
        <f>(DSUM('2_Fluorats'!$E$11:$P$33,"emissions",'6.1_Resultats Illes Balears'!E$71:E254)/1000)-SUM(H$72:H253)</f>
        <v>0</v>
      </c>
      <c r="I254" s="507">
        <f>(DSUM('3_Emissions processos'!$E$13:$K$35,"emissions",'6.1_Resultats Illes Balears'!E$71:E254)/1000)-SUM(I$72:I253)</f>
        <v>0</v>
      </c>
      <c r="J254" s="507"/>
      <c r="K254" s="508">
        <f t="shared" si="4"/>
        <v>0</v>
      </c>
      <c r="L254" s="508"/>
      <c r="M254" s="508"/>
      <c r="N254" s="507">
        <f>((DSUM('4.1_Electricitat Illes Balears'!$E$20:$J$42,"emisiones",'6.1_Resultats Illes Balears'!E$71:E254)+DSUM('4.1_Electricitat Illes Balears'!$E$50:$K$70,"emisiones",'6.1_Resultats Illes Balears'!E$71:E254))/1000)-SUM(N$72:N253)</f>
        <v>0</v>
      </c>
      <c r="O254" s="508"/>
      <c r="P254" s="508">
        <f t="shared" si="5"/>
        <v>0</v>
      </c>
      <c r="Q254" s="508"/>
      <c r="R254" s="508"/>
    </row>
    <row r="255" spans="1:18" x14ac:dyDescent="0.3">
      <c r="A255" s="198"/>
      <c r="E255" s="197" t="str">
        <f>IF(Dades!E845="","",Dades!E845)</f>
        <v/>
      </c>
      <c r="F255" s="396">
        <f>(DSUM('1_Combustibles fòssils'!$E$17:$N$39,"emissions",'6.1_Resultats Illes Balears'!E$71:E255)/1000)-SUM(F$72:F254)</f>
        <v>0</v>
      </c>
      <c r="G255" s="396">
        <f>((DSUM('1_Combustibles fòssils'!$E$47:$U$67,"emissions1",'6.1_Resultats Illes Balears'!E$71:E255)+DSUM('1_Combustibles fòssils'!$E$47:$U$67,"emissions2",'6.1_Resultats Illes Balears'!E$71:E255))/1000)-SUM(G$72:G254)</f>
        <v>0</v>
      </c>
      <c r="H255" s="396">
        <f>(DSUM('2_Fluorats'!$E$11:$P$33,"emissions",'6.1_Resultats Illes Balears'!E$71:E255)/1000)-SUM(H$72:H254)</f>
        <v>0</v>
      </c>
      <c r="I255" s="507">
        <f>(DSUM('3_Emissions processos'!$E$13:$K$35,"emissions",'6.1_Resultats Illes Balears'!E$71:E255)/1000)-SUM(I$72:I254)</f>
        <v>0</v>
      </c>
      <c r="J255" s="507"/>
      <c r="K255" s="508">
        <f t="shared" si="4"/>
        <v>0</v>
      </c>
      <c r="L255" s="508"/>
      <c r="M255" s="508"/>
      <c r="N255" s="507">
        <f>((DSUM('4.1_Electricitat Illes Balears'!$E$20:$J$42,"emisiones",'6.1_Resultats Illes Balears'!E$71:E255)+DSUM('4.1_Electricitat Illes Balears'!$E$50:$K$70,"emisiones",'6.1_Resultats Illes Balears'!E$71:E255))/1000)-SUM(N$72:N254)</f>
        <v>0</v>
      </c>
      <c r="O255" s="508"/>
      <c r="P255" s="508">
        <f t="shared" si="5"/>
        <v>0</v>
      </c>
      <c r="Q255" s="508"/>
      <c r="R255" s="508"/>
    </row>
    <row r="256" spans="1:18" x14ac:dyDescent="0.3">
      <c r="A256" s="198"/>
      <c r="E256" s="197" t="str">
        <f>IF(Dades!E846="","",Dades!E846)</f>
        <v/>
      </c>
      <c r="F256" s="396">
        <f>(DSUM('1_Combustibles fòssils'!$E$17:$N$39,"emissions",'6.1_Resultats Illes Balears'!E$71:E256)/1000)-SUM(F$72:F255)</f>
        <v>0</v>
      </c>
      <c r="G256" s="396">
        <f>((DSUM('1_Combustibles fòssils'!$E$47:$U$67,"emissions1",'6.1_Resultats Illes Balears'!E$71:E256)+DSUM('1_Combustibles fòssils'!$E$47:$U$67,"emissions2",'6.1_Resultats Illes Balears'!E$71:E256))/1000)-SUM(G$72:G255)</f>
        <v>0</v>
      </c>
      <c r="H256" s="396">
        <f>(DSUM('2_Fluorats'!$E$11:$P$33,"emissions",'6.1_Resultats Illes Balears'!E$71:E256)/1000)-SUM(H$72:H255)</f>
        <v>0</v>
      </c>
      <c r="I256" s="507">
        <f>(DSUM('3_Emissions processos'!$E$13:$K$35,"emissions",'6.1_Resultats Illes Balears'!E$71:E256)/1000)-SUM(I$72:I255)</f>
        <v>0</v>
      </c>
      <c r="J256" s="507"/>
      <c r="K256" s="508">
        <f t="shared" si="4"/>
        <v>0</v>
      </c>
      <c r="L256" s="508"/>
      <c r="M256" s="508"/>
      <c r="N256" s="507">
        <f>((DSUM('4.1_Electricitat Illes Balears'!$E$20:$J$42,"emisiones",'6.1_Resultats Illes Balears'!E$71:E256)+DSUM('4.1_Electricitat Illes Balears'!$E$50:$K$70,"emisiones",'6.1_Resultats Illes Balears'!E$71:E256))/1000)-SUM(N$72:N255)</f>
        <v>0</v>
      </c>
      <c r="O256" s="508"/>
      <c r="P256" s="508">
        <f t="shared" si="5"/>
        <v>0</v>
      </c>
      <c r="Q256" s="508"/>
      <c r="R256" s="508"/>
    </row>
    <row r="257" spans="1:18" x14ac:dyDescent="0.3">
      <c r="A257" s="198"/>
      <c r="E257" s="197" t="str">
        <f>IF(Dades!E847="","",Dades!E847)</f>
        <v/>
      </c>
      <c r="F257" s="396">
        <f>(DSUM('1_Combustibles fòssils'!$E$17:$N$39,"emissions",'6.1_Resultats Illes Balears'!E$71:E257)/1000)-SUM(F$72:F256)</f>
        <v>0</v>
      </c>
      <c r="G257" s="396">
        <f>((DSUM('1_Combustibles fòssils'!$E$47:$U$67,"emissions1",'6.1_Resultats Illes Balears'!E$71:E257)+DSUM('1_Combustibles fòssils'!$E$47:$U$67,"emissions2",'6.1_Resultats Illes Balears'!E$71:E257))/1000)-SUM(G$72:G256)</f>
        <v>0</v>
      </c>
      <c r="H257" s="396">
        <f>(DSUM('2_Fluorats'!$E$11:$P$33,"emissions",'6.1_Resultats Illes Balears'!E$71:E257)/1000)-SUM(H$72:H256)</f>
        <v>0</v>
      </c>
      <c r="I257" s="507">
        <f>(DSUM('3_Emissions processos'!$E$13:$K$35,"emissions",'6.1_Resultats Illes Balears'!E$71:E257)/1000)-SUM(I$72:I256)</f>
        <v>0</v>
      </c>
      <c r="J257" s="507"/>
      <c r="K257" s="508">
        <f t="shared" si="4"/>
        <v>0</v>
      </c>
      <c r="L257" s="508"/>
      <c r="M257" s="508"/>
      <c r="N257" s="507">
        <f>((DSUM('4.1_Electricitat Illes Balears'!$E$20:$J$42,"emisiones",'6.1_Resultats Illes Balears'!E$71:E257)+DSUM('4.1_Electricitat Illes Balears'!$E$50:$K$70,"emisiones",'6.1_Resultats Illes Balears'!E$71:E257))/1000)-SUM(N$72:N256)</f>
        <v>0</v>
      </c>
      <c r="O257" s="508"/>
      <c r="P257" s="508">
        <f t="shared" si="5"/>
        <v>0</v>
      </c>
      <c r="Q257" s="508"/>
      <c r="R257" s="508"/>
    </row>
    <row r="258" spans="1:18" x14ac:dyDescent="0.3">
      <c r="A258" s="198"/>
      <c r="E258" s="197" t="str">
        <f>IF(Dades!E848="","",Dades!E848)</f>
        <v/>
      </c>
      <c r="F258" s="396">
        <f>(DSUM('1_Combustibles fòssils'!$E$17:$N$39,"emissions",'6.1_Resultats Illes Balears'!E$71:E258)/1000)-SUM(F$72:F257)</f>
        <v>0</v>
      </c>
      <c r="G258" s="396">
        <f>((DSUM('1_Combustibles fòssils'!$E$47:$U$67,"emissions1",'6.1_Resultats Illes Balears'!E$71:E258)+DSUM('1_Combustibles fòssils'!$E$47:$U$67,"emissions2",'6.1_Resultats Illes Balears'!E$71:E258))/1000)-SUM(G$72:G257)</f>
        <v>0</v>
      </c>
      <c r="H258" s="396">
        <f>(DSUM('2_Fluorats'!$E$11:$P$33,"emissions",'6.1_Resultats Illes Balears'!E$71:E258)/1000)-SUM(H$72:H257)</f>
        <v>0</v>
      </c>
      <c r="I258" s="507">
        <f>(DSUM('3_Emissions processos'!$E$13:$K$35,"emissions",'6.1_Resultats Illes Balears'!E$71:E258)/1000)-SUM(I$72:I257)</f>
        <v>0</v>
      </c>
      <c r="J258" s="507"/>
      <c r="K258" s="508">
        <f t="shared" si="4"/>
        <v>0</v>
      </c>
      <c r="L258" s="508"/>
      <c r="M258" s="508"/>
      <c r="N258" s="507">
        <f>((DSUM('4.1_Electricitat Illes Balears'!$E$20:$J$42,"emisiones",'6.1_Resultats Illes Balears'!E$71:E258)+DSUM('4.1_Electricitat Illes Balears'!$E$50:$K$70,"emisiones",'6.1_Resultats Illes Balears'!E$71:E258))/1000)-SUM(N$72:N257)</f>
        <v>0</v>
      </c>
      <c r="O258" s="508"/>
      <c r="P258" s="508">
        <f t="shared" si="5"/>
        <v>0</v>
      </c>
      <c r="Q258" s="508"/>
      <c r="R258" s="508"/>
    </row>
    <row r="259" spans="1:18" x14ac:dyDescent="0.3">
      <c r="A259" s="198"/>
      <c r="E259" s="197" t="str">
        <f>IF(Dades!E849="","",Dades!E849)</f>
        <v/>
      </c>
      <c r="F259" s="396">
        <f>(DSUM('1_Combustibles fòssils'!$E$17:$N$39,"emissions",'6.1_Resultats Illes Balears'!E$71:E259)/1000)-SUM(F$72:F258)</f>
        <v>0</v>
      </c>
      <c r="G259" s="396">
        <f>((DSUM('1_Combustibles fòssils'!$E$47:$U$67,"emissions1",'6.1_Resultats Illes Balears'!E$71:E259)+DSUM('1_Combustibles fòssils'!$E$47:$U$67,"emissions2",'6.1_Resultats Illes Balears'!E$71:E259))/1000)-SUM(G$72:G258)</f>
        <v>0</v>
      </c>
      <c r="H259" s="396">
        <f>(DSUM('2_Fluorats'!$E$11:$P$33,"emissions",'6.1_Resultats Illes Balears'!E$71:E259)/1000)-SUM(H$72:H258)</f>
        <v>0</v>
      </c>
      <c r="I259" s="507">
        <f>(DSUM('3_Emissions processos'!$E$13:$K$35,"emissions",'6.1_Resultats Illes Balears'!E$71:E259)/1000)-SUM(I$72:I258)</f>
        <v>0</v>
      </c>
      <c r="J259" s="507"/>
      <c r="K259" s="508">
        <f t="shared" si="4"/>
        <v>0</v>
      </c>
      <c r="L259" s="508"/>
      <c r="M259" s="508"/>
      <c r="N259" s="507">
        <f>((DSUM('4.1_Electricitat Illes Balears'!$E$20:$J$42,"emisiones",'6.1_Resultats Illes Balears'!E$71:E259)+DSUM('4.1_Electricitat Illes Balears'!$E$50:$K$70,"emisiones",'6.1_Resultats Illes Balears'!E$71:E259))/1000)-SUM(N$72:N258)</f>
        <v>0</v>
      </c>
      <c r="O259" s="508"/>
      <c r="P259" s="508">
        <f t="shared" si="5"/>
        <v>0</v>
      </c>
      <c r="Q259" s="508"/>
      <c r="R259" s="508"/>
    </row>
    <row r="260" spans="1:18" x14ac:dyDescent="0.3">
      <c r="A260" s="198"/>
      <c r="E260" s="197" t="str">
        <f>IF(Dades!E850="","",Dades!E850)</f>
        <v/>
      </c>
      <c r="F260" s="396">
        <f>(DSUM('1_Combustibles fòssils'!$E$17:$N$39,"emissions",'6.1_Resultats Illes Balears'!E$71:E260)/1000)-SUM(F$72:F259)</f>
        <v>0</v>
      </c>
      <c r="G260" s="396">
        <f>((DSUM('1_Combustibles fòssils'!$E$47:$U$67,"emissions1",'6.1_Resultats Illes Balears'!E$71:E260)+DSUM('1_Combustibles fòssils'!$E$47:$U$67,"emissions2",'6.1_Resultats Illes Balears'!E$71:E260))/1000)-SUM(G$72:G259)</f>
        <v>0</v>
      </c>
      <c r="H260" s="396">
        <f>(DSUM('2_Fluorats'!$E$11:$P$33,"emissions",'6.1_Resultats Illes Balears'!E$71:E260)/1000)-SUM(H$72:H259)</f>
        <v>0</v>
      </c>
      <c r="I260" s="507">
        <f>(DSUM('3_Emissions processos'!$E$13:$K$35,"emissions",'6.1_Resultats Illes Balears'!E$71:E260)/1000)-SUM(I$72:I259)</f>
        <v>0</v>
      </c>
      <c r="J260" s="507"/>
      <c r="K260" s="508">
        <f t="shared" si="4"/>
        <v>0</v>
      </c>
      <c r="L260" s="508"/>
      <c r="M260" s="508"/>
      <c r="N260" s="507">
        <f>((DSUM('4.1_Electricitat Illes Balears'!$E$20:$J$42,"emisiones",'6.1_Resultats Illes Balears'!E$71:E260)+DSUM('4.1_Electricitat Illes Balears'!$E$50:$K$70,"emisiones",'6.1_Resultats Illes Balears'!E$71:E260))/1000)-SUM(N$72:N259)</f>
        <v>0</v>
      </c>
      <c r="O260" s="508"/>
      <c r="P260" s="508">
        <f t="shared" si="5"/>
        <v>0</v>
      </c>
      <c r="Q260" s="508"/>
      <c r="R260" s="508"/>
    </row>
    <row r="261" spans="1:18" x14ac:dyDescent="0.3">
      <c r="A261" s="198"/>
      <c r="E261" s="197" t="str">
        <f>IF(Dades!E851="","",Dades!E851)</f>
        <v/>
      </c>
      <c r="F261" s="396">
        <f>(DSUM('1_Combustibles fòssils'!$E$17:$N$39,"emissions",'6.1_Resultats Illes Balears'!E$71:E261)/1000)-SUM(F$72:F260)</f>
        <v>0</v>
      </c>
      <c r="G261" s="396">
        <f>((DSUM('1_Combustibles fòssils'!$E$47:$U$67,"emissions1",'6.1_Resultats Illes Balears'!E$71:E261)+DSUM('1_Combustibles fòssils'!$E$47:$U$67,"emissions2",'6.1_Resultats Illes Balears'!E$71:E261))/1000)-SUM(G$72:G260)</f>
        <v>0</v>
      </c>
      <c r="H261" s="396">
        <f>(DSUM('2_Fluorats'!$E$11:$P$33,"emissions",'6.1_Resultats Illes Balears'!E$71:E261)/1000)-SUM(H$72:H260)</f>
        <v>0</v>
      </c>
      <c r="I261" s="507">
        <f>(DSUM('3_Emissions processos'!$E$13:$K$35,"emissions",'6.1_Resultats Illes Balears'!E$71:E261)/1000)-SUM(I$72:I260)</f>
        <v>0</v>
      </c>
      <c r="J261" s="507"/>
      <c r="K261" s="508">
        <f t="shared" si="4"/>
        <v>0</v>
      </c>
      <c r="L261" s="508"/>
      <c r="M261" s="508"/>
      <c r="N261" s="507">
        <f>((DSUM('4.1_Electricitat Illes Balears'!$E$20:$J$42,"emisiones",'6.1_Resultats Illes Balears'!E$71:E261)+DSUM('4.1_Electricitat Illes Balears'!$E$50:$K$70,"emisiones",'6.1_Resultats Illes Balears'!E$71:E261))/1000)-SUM(N$72:N260)</f>
        <v>0</v>
      </c>
      <c r="O261" s="508"/>
      <c r="P261" s="508">
        <f t="shared" si="5"/>
        <v>0</v>
      </c>
      <c r="Q261" s="508"/>
      <c r="R261" s="508"/>
    </row>
    <row r="262" spans="1:18" x14ac:dyDescent="0.3">
      <c r="A262" s="198"/>
      <c r="E262" s="197" t="str">
        <f>IF(Dades!E852="","",Dades!E852)</f>
        <v/>
      </c>
      <c r="F262" s="396">
        <f>(DSUM('1_Combustibles fòssils'!$E$17:$N$39,"emissions",'6.1_Resultats Illes Balears'!E$71:E262)/1000)-SUM(F$72:F261)</f>
        <v>0</v>
      </c>
      <c r="G262" s="396">
        <f>((DSUM('1_Combustibles fòssils'!$E$47:$U$67,"emissions1",'6.1_Resultats Illes Balears'!E$71:E262)+DSUM('1_Combustibles fòssils'!$E$47:$U$67,"emissions2",'6.1_Resultats Illes Balears'!E$71:E262))/1000)-SUM(G$72:G261)</f>
        <v>0</v>
      </c>
      <c r="H262" s="396">
        <f>(DSUM('2_Fluorats'!$E$11:$P$33,"emissions",'6.1_Resultats Illes Balears'!E$71:E262)/1000)-SUM(H$72:H261)</f>
        <v>0</v>
      </c>
      <c r="I262" s="507">
        <f>(DSUM('3_Emissions processos'!$E$13:$K$35,"emissions",'6.1_Resultats Illes Balears'!E$71:E262)/1000)-SUM(I$72:I261)</f>
        <v>0</v>
      </c>
      <c r="J262" s="507"/>
      <c r="K262" s="508">
        <f t="shared" si="4"/>
        <v>0</v>
      </c>
      <c r="L262" s="508"/>
      <c r="M262" s="508"/>
      <c r="N262" s="507">
        <f>((DSUM('4.1_Electricitat Illes Balears'!$E$20:$J$42,"emisiones",'6.1_Resultats Illes Balears'!E$71:E262)+DSUM('4.1_Electricitat Illes Balears'!$E$50:$K$70,"emisiones",'6.1_Resultats Illes Balears'!E$71:E262))/1000)-SUM(N$72:N261)</f>
        <v>0</v>
      </c>
      <c r="O262" s="508"/>
      <c r="P262" s="508">
        <f t="shared" si="5"/>
        <v>0</v>
      </c>
      <c r="Q262" s="508"/>
      <c r="R262" s="508"/>
    </row>
    <row r="263" spans="1:18" x14ac:dyDescent="0.3">
      <c r="A263" s="198"/>
      <c r="E263" s="197" t="str">
        <f>IF(Dades!E853="","",Dades!E853)</f>
        <v/>
      </c>
      <c r="F263" s="396">
        <f>(DSUM('1_Combustibles fòssils'!$E$17:$N$39,"emissions",'6.1_Resultats Illes Balears'!E$71:E263)/1000)-SUM(F$72:F262)</f>
        <v>0</v>
      </c>
      <c r="G263" s="396">
        <f>((DSUM('1_Combustibles fòssils'!$E$47:$U$67,"emissions1",'6.1_Resultats Illes Balears'!E$71:E263)+DSUM('1_Combustibles fòssils'!$E$47:$U$67,"emissions2",'6.1_Resultats Illes Balears'!E$71:E263))/1000)-SUM(G$72:G262)</f>
        <v>0</v>
      </c>
      <c r="H263" s="396">
        <f>(DSUM('2_Fluorats'!$E$11:$P$33,"emissions",'6.1_Resultats Illes Balears'!E$71:E263)/1000)-SUM(H$72:H262)</f>
        <v>0</v>
      </c>
      <c r="I263" s="507">
        <f>(DSUM('3_Emissions processos'!$E$13:$K$35,"emissions",'6.1_Resultats Illes Balears'!E$71:E263)/1000)-SUM(I$72:I262)</f>
        <v>0</v>
      </c>
      <c r="J263" s="507"/>
      <c r="K263" s="508">
        <f t="shared" si="4"/>
        <v>0</v>
      </c>
      <c r="L263" s="508"/>
      <c r="M263" s="508"/>
      <c r="N263" s="507">
        <f>((DSUM('4.1_Electricitat Illes Balears'!$E$20:$J$42,"emisiones",'6.1_Resultats Illes Balears'!E$71:E263)+DSUM('4.1_Electricitat Illes Balears'!$E$50:$K$70,"emisiones",'6.1_Resultats Illes Balears'!E$71:E263))/1000)-SUM(N$72:N262)</f>
        <v>0</v>
      </c>
      <c r="O263" s="508"/>
      <c r="P263" s="508">
        <f t="shared" si="5"/>
        <v>0</v>
      </c>
      <c r="Q263" s="508"/>
      <c r="R263" s="508"/>
    </row>
    <row r="264" spans="1:18" x14ac:dyDescent="0.3">
      <c r="A264" s="198"/>
      <c r="E264" s="197" t="str">
        <f>IF(Dades!E854="","",Dades!E854)</f>
        <v/>
      </c>
      <c r="F264" s="396">
        <f>(DSUM('1_Combustibles fòssils'!$E$17:$N$39,"emissions",'6.1_Resultats Illes Balears'!E$71:E264)/1000)-SUM(F$72:F263)</f>
        <v>0</v>
      </c>
      <c r="G264" s="396">
        <f>((DSUM('1_Combustibles fòssils'!$E$47:$U$67,"emissions1",'6.1_Resultats Illes Balears'!E$71:E264)+DSUM('1_Combustibles fòssils'!$E$47:$U$67,"emissions2",'6.1_Resultats Illes Balears'!E$71:E264))/1000)-SUM(G$72:G263)</f>
        <v>0</v>
      </c>
      <c r="H264" s="396">
        <f>(DSUM('2_Fluorats'!$E$11:$P$33,"emissions",'6.1_Resultats Illes Balears'!E$71:E264)/1000)-SUM(H$72:H263)</f>
        <v>0</v>
      </c>
      <c r="I264" s="507">
        <f>(DSUM('3_Emissions processos'!$E$13:$K$35,"emissions",'6.1_Resultats Illes Balears'!E$71:E264)/1000)-SUM(I$72:I263)</f>
        <v>0</v>
      </c>
      <c r="J264" s="507"/>
      <c r="K264" s="508">
        <f t="shared" si="4"/>
        <v>0</v>
      </c>
      <c r="L264" s="508"/>
      <c r="M264" s="508"/>
      <c r="N264" s="507">
        <f>((DSUM('4.1_Electricitat Illes Balears'!$E$20:$J$42,"emisiones",'6.1_Resultats Illes Balears'!E$71:E264)+DSUM('4.1_Electricitat Illes Balears'!$E$50:$K$70,"emisiones",'6.1_Resultats Illes Balears'!E$71:E264))/1000)-SUM(N$72:N263)</f>
        <v>0</v>
      </c>
      <c r="O264" s="508"/>
      <c r="P264" s="508">
        <f t="shared" si="5"/>
        <v>0</v>
      </c>
      <c r="Q264" s="508"/>
      <c r="R264" s="508"/>
    </row>
    <row r="265" spans="1:18" x14ac:dyDescent="0.3">
      <c r="A265" s="198"/>
      <c r="E265" s="197" t="str">
        <f>IF(Dades!E855="","",Dades!E855)</f>
        <v/>
      </c>
      <c r="F265" s="396">
        <f>(DSUM('1_Combustibles fòssils'!$E$17:$N$39,"emissions",'6.1_Resultats Illes Balears'!E$71:E265)/1000)-SUM(F$72:F264)</f>
        <v>0</v>
      </c>
      <c r="G265" s="396">
        <f>((DSUM('1_Combustibles fòssils'!$E$47:$U$67,"emissions1",'6.1_Resultats Illes Balears'!E$71:E265)+DSUM('1_Combustibles fòssils'!$E$47:$U$67,"emissions2",'6.1_Resultats Illes Balears'!E$71:E265))/1000)-SUM(G$72:G264)</f>
        <v>0</v>
      </c>
      <c r="H265" s="396">
        <f>(DSUM('2_Fluorats'!$E$11:$P$33,"emissions",'6.1_Resultats Illes Balears'!E$71:E265)/1000)-SUM(H$72:H264)</f>
        <v>0</v>
      </c>
      <c r="I265" s="507">
        <f>(DSUM('3_Emissions processos'!$E$13:$K$35,"emissions",'6.1_Resultats Illes Balears'!E$71:E265)/1000)-SUM(I$72:I264)</f>
        <v>0</v>
      </c>
      <c r="J265" s="507"/>
      <c r="K265" s="508">
        <f t="shared" si="4"/>
        <v>0</v>
      </c>
      <c r="L265" s="508"/>
      <c r="M265" s="508"/>
      <c r="N265" s="507">
        <f>((DSUM('4.1_Electricitat Illes Balears'!$E$20:$J$42,"emisiones",'6.1_Resultats Illes Balears'!E$71:E265)+DSUM('4.1_Electricitat Illes Balears'!$E$50:$K$70,"emisiones",'6.1_Resultats Illes Balears'!E$71:E265))/1000)-SUM(N$72:N264)</f>
        <v>0</v>
      </c>
      <c r="O265" s="508"/>
      <c r="P265" s="508">
        <f t="shared" si="5"/>
        <v>0</v>
      </c>
      <c r="Q265" s="508"/>
      <c r="R265" s="508"/>
    </row>
    <row r="266" spans="1:18" x14ac:dyDescent="0.3">
      <c r="A266" s="198"/>
      <c r="E266" s="197" t="str">
        <f>IF(Dades!E856="","",Dades!E856)</f>
        <v/>
      </c>
      <c r="F266" s="396">
        <f>(DSUM('1_Combustibles fòssils'!$E$17:$N$39,"emissions",'6.1_Resultats Illes Balears'!E$71:E266)/1000)-SUM(F$72:F265)</f>
        <v>0</v>
      </c>
      <c r="G266" s="396">
        <f>((DSUM('1_Combustibles fòssils'!$E$47:$U$67,"emissions1",'6.1_Resultats Illes Balears'!E$71:E266)+DSUM('1_Combustibles fòssils'!$E$47:$U$67,"emissions2",'6.1_Resultats Illes Balears'!E$71:E266))/1000)-SUM(G$72:G265)</f>
        <v>0</v>
      </c>
      <c r="H266" s="396">
        <f>(DSUM('2_Fluorats'!$E$11:$P$33,"emissions",'6.1_Resultats Illes Balears'!E$71:E266)/1000)-SUM(H$72:H265)</f>
        <v>0</v>
      </c>
      <c r="I266" s="507">
        <f>(DSUM('3_Emissions processos'!$E$13:$K$35,"emissions",'6.1_Resultats Illes Balears'!E$71:E266)/1000)-SUM(I$72:I265)</f>
        <v>0</v>
      </c>
      <c r="J266" s="507"/>
      <c r="K266" s="508">
        <f t="shared" ref="K266:K321" si="6">SUM(F266:J266)</f>
        <v>0</v>
      </c>
      <c r="L266" s="508"/>
      <c r="M266" s="508"/>
      <c r="N266" s="507">
        <f>((DSUM('4.1_Electricitat Illes Balears'!$E$20:$J$42,"emisiones",'6.1_Resultats Illes Balears'!E$71:E266)+DSUM('4.1_Electricitat Illes Balears'!$E$50:$K$70,"emisiones",'6.1_Resultats Illes Balears'!E$71:E266))/1000)-SUM(N$72:N265)</f>
        <v>0</v>
      </c>
      <c r="O266" s="508"/>
      <c r="P266" s="508">
        <f t="shared" ref="P266:P321" si="7">K266+N266</f>
        <v>0</v>
      </c>
      <c r="Q266" s="508"/>
      <c r="R266" s="508"/>
    </row>
    <row r="267" spans="1:18" x14ac:dyDescent="0.3">
      <c r="A267" s="198"/>
      <c r="E267" s="197" t="str">
        <f>IF(Dades!E857="","",Dades!E857)</f>
        <v/>
      </c>
      <c r="F267" s="396">
        <f>(DSUM('1_Combustibles fòssils'!$E$17:$N$39,"emissions",'6.1_Resultats Illes Balears'!E$71:E267)/1000)-SUM(F$72:F266)</f>
        <v>0</v>
      </c>
      <c r="G267" s="396">
        <f>((DSUM('1_Combustibles fòssils'!$E$47:$U$67,"emissions1",'6.1_Resultats Illes Balears'!E$71:E267)+DSUM('1_Combustibles fòssils'!$E$47:$U$67,"emissions2",'6.1_Resultats Illes Balears'!E$71:E267))/1000)-SUM(G$72:G266)</f>
        <v>0</v>
      </c>
      <c r="H267" s="396">
        <f>(DSUM('2_Fluorats'!$E$11:$P$33,"emissions",'6.1_Resultats Illes Balears'!E$71:E267)/1000)-SUM(H$72:H266)</f>
        <v>0</v>
      </c>
      <c r="I267" s="507">
        <f>(DSUM('3_Emissions processos'!$E$13:$K$35,"emissions",'6.1_Resultats Illes Balears'!E$71:E267)/1000)-SUM(I$72:I266)</f>
        <v>0</v>
      </c>
      <c r="J267" s="507"/>
      <c r="K267" s="508">
        <f t="shared" si="6"/>
        <v>0</v>
      </c>
      <c r="L267" s="508"/>
      <c r="M267" s="508"/>
      <c r="N267" s="507">
        <f>((DSUM('4.1_Electricitat Illes Balears'!$E$20:$J$42,"emisiones",'6.1_Resultats Illes Balears'!E$71:E267)+DSUM('4.1_Electricitat Illes Balears'!$E$50:$K$70,"emisiones",'6.1_Resultats Illes Balears'!E$71:E267))/1000)-SUM(N$72:N266)</f>
        <v>0</v>
      </c>
      <c r="O267" s="508"/>
      <c r="P267" s="508">
        <f t="shared" si="7"/>
        <v>0</v>
      </c>
      <c r="Q267" s="508"/>
      <c r="R267" s="508"/>
    </row>
    <row r="268" spans="1:18" x14ac:dyDescent="0.3">
      <c r="A268" s="198"/>
      <c r="E268" s="197" t="str">
        <f>IF(Dades!E858="","",Dades!E858)</f>
        <v/>
      </c>
      <c r="F268" s="396">
        <f>(DSUM('1_Combustibles fòssils'!$E$17:$N$39,"emissions",'6.1_Resultats Illes Balears'!E$71:E268)/1000)-SUM(F$72:F267)</f>
        <v>0</v>
      </c>
      <c r="G268" s="396">
        <f>((DSUM('1_Combustibles fòssils'!$E$47:$U$67,"emissions1",'6.1_Resultats Illes Balears'!E$71:E268)+DSUM('1_Combustibles fòssils'!$E$47:$U$67,"emissions2",'6.1_Resultats Illes Balears'!E$71:E268))/1000)-SUM(G$72:G267)</f>
        <v>0</v>
      </c>
      <c r="H268" s="396">
        <f>(DSUM('2_Fluorats'!$E$11:$P$33,"emissions",'6.1_Resultats Illes Balears'!E$71:E268)/1000)-SUM(H$72:H267)</f>
        <v>0</v>
      </c>
      <c r="I268" s="507">
        <f>(DSUM('3_Emissions processos'!$E$13:$K$35,"emissions",'6.1_Resultats Illes Balears'!E$71:E268)/1000)-SUM(I$72:I267)</f>
        <v>0</v>
      </c>
      <c r="J268" s="507"/>
      <c r="K268" s="508">
        <f t="shared" si="6"/>
        <v>0</v>
      </c>
      <c r="L268" s="508"/>
      <c r="M268" s="508"/>
      <c r="N268" s="507">
        <f>((DSUM('4.1_Electricitat Illes Balears'!$E$20:$J$42,"emisiones",'6.1_Resultats Illes Balears'!E$71:E268)+DSUM('4.1_Electricitat Illes Balears'!$E$50:$K$70,"emisiones",'6.1_Resultats Illes Balears'!E$71:E268))/1000)-SUM(N$72:N267)</f>
        <v>0</v>
      </c>
      <c r="O268" s="508"/>
      <c r="P268" s="508">
        <f t="shared" si="7"/>
        <v>0</v>
      </c>
      <c r="Q268" s="508"/>
      <c r="R268" s="508"/>
    </row>
    <row r="269" spans="1:18" x14ac:dyDescent="0.3">
      <c r="A269" s="198"/>
      <c r="E269" s="197" t="str">
        <f>IF(Dades!E859="","",Dades!E859)</f>
        <v/>
      </c>
      <c r="F269" s="396">
        <f>(DSUM('1_Combustibles fòssils'!$E$17:$N$39,"emissions",'6.1_Resultats Illes Balears'!E$71:E269)/1000)-SUM(F$72:F268)</f>
        <v>0</v>
      </c>
      <c r="G269" s="396">
        <f>((DSUM('1_Combustibles fòssils'!$E$47:$U$67,"emissions1",'6.1_Resultats Illes Balears'!E$71:E269)+DSUM('1_Combustibles fòssils'!$E$47:$U$67,"emissions2",'6.1_Resultats Illes Balears'!E$71:E269))/1000)-SUM(G$72:G268)</f>
        <v>0</v>
      </c>
      <c r="H269" s="396">
        <f>(DSUM('2_Fluorats'!$E$11:$P$33,"emissions",'6.1_Resultats Illes Balears'!E$71:E269)/1000)-SUM(H$72:H268)</f>
        <v>0</v>
      </c>
      <c r="I269" s="507">
        <f>(DSUM('3_Emissions processos'!$E$13:$K$35,"emissions",'6.1_Resultats Illes Balears'!E$71:E269)/1000)-SUM(I$72:I268)</f>
        <v>0</v>
      </c>
      <c r="J269" s="507"/>
      <c r="K269" s="508">
        <f t="shared" si="6"/>
        <v>0</v>
      </c>
      <c r="L269" s="508"/>
      <c r="M269" s="508"/>
      <c r="N269" s="507">
        <f>((DSUM('4.1_Electricitat Illes Balears'!$E$20:$J$42,"emisiones",'6.1_Resultats Illes Balears'!E$71:E269)+DSUM('4.1_Electricitat Illes Balears'!$E$50:$K$70,"emisiones",'6.1_Resultats Illes Balears'!E$71:E269))/1000)-SUM(N$72:N268)</f>
        <v>0</v>
      </c>
      <c r="O269" s="508"/>
      <c r="P269" s="508">
        <f t="shared" si="7"/>
        <v>0</v>
      </c>
      <c r="Q269" s="508"/>
      <c r="R269" s="508"/>
    </row>
    <row r="270" spans="1:18" x14ac:dyDescent="0.3">
      <c r="A270" s="198"/>
      <c r="E270" s="197" t="str">
        <f>IF(Dades!E860="","",Dades!E860)</f>
        <v/>
      </c>
      <c r="F270" s="396">
        <f>(DSUM('1_Combustibles fòssils'!$E$17:$N$39,"emissions",'6.1_Resultats Illes Balears'!E$71:E270)/1000)-SUM(F$72:F269)</f>
        <v>0</v>
      </c>
      <c r="G270" s="396">
        <f>((DSUM('1_Combustibles fòssils'!$E$47:$U$67,"emissions1",'6.1_Resultats Illes Balears'!E$71:E270)+DSUM('1_Combustibles fòssils'!$E$47:$U$67,"emissions2",'6.1_Resultats Illes Balears'!E$71:E270))/1000)-SUM(G$72:G269)</f>
        <v>0</v>
      </c>
      <c r="H270" s="396">
        <f>(DSUM('2_Fluorats'!$E$11:$P$33,"emissions",'6.1_Resultats Illes Balears'!E$71:E270)/1000)-SUM(H$72:H269)</f>
        <v>0</v>
      </c>
      <c r="I270" s="507">
        <f>(DSUM('3_Emissions processos'!$E$13:$K$35,"emissions",'6.1_Resultats Illes Balears'!E$71:E270)/1000)-SUM(I$72:I269)</f>
        <v>0</v>
      </c>
      <c r="J270" s="507"/>
      <c r="K270" s="508">
        <f t="shared" si="6"/>
        <v>0</v>
      </c>
      <c r="L270" s="508"/>
      <c r="M270" s="508"/>
      <c r="N270" s="507">
        <f>((DSUM('4.1_Electricitat Illes Balears'!$E$20:$J$42,"emisiones",'6.1_Resultats Illes Balears'!E$71:E270)+DSUM('4.1_Electricitat Illes Balears'!$E$50:$K$70,"emisiones",'6.1_Resultats Illes Balears'!E$71:E270))/1000)-SUM(N$72:N269)</f>
        <v>0</v>
      </c>
      <c r="O270" s="508"/>
      <c r="P270" s="508">
        <f t="shared" si="7"/>
        <v>0</v>
      </c>
      <c r="Q270" s="508"/>
      <c r="R270" s="508"/>
    </row>
    <row r="271" spans="1:18" x14ac:dyDescent="0.3">
      <c r="A271" s="198"/>
      <c r="E271" s="197" t="str">
        <f>IF(Dades!E861="","",Dades!E861)</f>
        <v/>
      </c>
      <c r="F271" s="396">
        <f>(DSUM('1_Combustibles fòssils'!$E$17:$N$39,"emissions",'6.1_Resultats Illes Balears'!E$71:E271)/1000)-SUM(F$72:F270)</f>
        <v>0</v>
      </c>
      <c r="G271" s="396">
        <f>((DSUM('1_Combustibles fòssils'!$E$47:$U$67,"emissions1",'6.1_Resultats Illes Balears'!E$71:E271)+DSUM('1_Combustibles fòssils'!$E$47:$U$67,"emissions2",'6.1_Resultats Illes Balears'!E$71:E271))/1000)-SUM(G$72:G270)</f>
        <v>0</v>
      </c>
      <c r="H271" s="396">
        <f>(DSUM('2_Fluorats'!$E$11:$P$33,"emissions",'6.1_Resultats Illes Balears'!E$71:E271)/1000)-SUM(H$72:H270)</f>
        <v>0</v>
      </c>
      <c r="I271" s="507">
        <f>(DSUM('3_Emissions processos'!$E$13:$K$35,"emissions",'6.1_Resultats Illes Balears'!E$71:E271)/1000)-SUM(I$72:I270)</f>
        <v>0</v>
      </c>
      <c r="J271" s="507"/>
      <c r="K271" s="508">
        <f t="shared" si="6"/>
        <v>0</v>
      </c>
      <c r="L271" s="508"/>
      <c r="M271" s="508"/>
      <c r="N271" s="507">
        <f>((DSUM('4.1_Electricitat Illes Balears'!$E$20:$J$42,"emisiones",'6.1_Resultats Illes Balears'!E$71:E271)+DSUM('4.1_Electricitat Illes Balears'!$E$50:$K$70,"emisiones",'6.1_Resultats Illes Balears'!E$71:E271))/1000)-SUM(N$72:N270)</f>
        <v>0</v>
      </c>
      <c r="O271" s="508"/>
      <c r="P271" s="508">
        <f t="shared" si="7"/>
        <v>0</v>
      </c>
      <c r="Q271" s="508"/>
      <c r="R271" s="508"/>
    </row>
    <row r="272" spans="1:18" x14ac:dyDescent="0.3">
      <c r="A272" s="198"/>
      <c r="E272" s="197" t="str">
        <f>IF(Dades!E862="","",Dades!E862)</f>
        <v/>
      </c>
      <c r="F272" s="396">
        <f>(DSUM('1_Combustibles fòssils'!$E$17:$N$39,"emissions",'6.1_Resultats Illes Balears'!E$71:E272)/1000)-SUM(F$72:F271)</f>
        <v>0</v>
      </c>
      <c r="G272" s="396">
        <f>((DSUM('1_Combustibles fòssils'!$E$47:$U$67,"emissions1",'6.1_Resultats Illes Balears'!E$71:E272)+DSUM('1_Combustibles fòssils'!$E$47:$U$67,"emissions2",'6.1_Resultats Illes Balears'!E$71:E272))/1000)-SUM(G$72:G271)</f>
        <v>0</v>
      </c>
      <c r="H272" s="396">
        <f>(DSUM('2_Fluorats'!$E$11:$P$33,"emissions",'6.1_Resultats Illes Balears'!E$71:E272)/1000)-SUM(H$72:H271)</f>
        <v>0</v>
      </c>
      <c r="I272" s="507">
        <f>(DSUM('3_Emissions processos'!$E$13:$K$35,"emissions",'6.1_Resultats Illes Balears'!E$71:E272)/1000)-SUM(I$72:I271)</f>
        <v>0</v>
      </c>
      <c r="J272" s="507"/>
      <c r="K272" s="508">
        <f t="shared" si="6"/>
        <v>0</v>
      </c>
      <c r="L272" s="508"/>
      <c r="M272" s="508"/>
      <c r="N272" s="507">
        <f>((DSUM('4.1_Electricitat Illes Balears'!$E$20:$J$42,"emisiones",'6.1_Resultats Illes Balears'!E$71:E272)+DSUM('4.1_Electricitat Illes Balears'!$E$50:$K$70,"emisiones",'6.1_Resultats Illes Balears'!E$71:E272))/1000)-SUM(N$72:N271)</f>
        <v>0</v>
      </c>
      <c r="O272" s="508"/>
      <c r="P272" s="508">
        <f t="shared" si="7"/>
        <v>0</v>
      </c>
      <c r="Q272" s="508"/>
      <c r="R272" s="508"/>
    </row>
    <row r="273" spans="1:18" x14ac:dyDescent="0.3">
      <c r="A273" s="198"/>
      <c r="E273" s="197" t="str">
        <f>IF(Dades!E863="","",Dades!E863)</f>
        <v/>
      </c>
      <c r="F273" s="396">
        <f>(DSUM('1_Combustibles fòssils'!$E$17:$N$39,"emissions",'6.1_Resultats Illes Balears'!E$71:E273)/1000)-SUM(F$72:F272)</f>
        <v>0</v>
      </c>
      <c r="G273" s="396">
        <f>((DSUM('1_Combustibles fòssils'!$E$47:$U$67,"emissions1",'6.1_Resultats Illes Balears'!E$71:E273)+DSUM('1_Combustibles fòssils'!$E$47:$U$67,"emissions2",'6.1_Resultats Illes Balears'!E$71:E273))/1000)-SUM(G$72:G272)</f>
        <v>0</v>
      </c>
      <c r="H273" s="396">
        <f>(DSUM('2_Fluorats'!$E$11:$P$33,"emissions",'6.1_Resultats Illes Balears'!E$71:E273)/1000)-SUM(H$72:H272)</f>
        <v>0</v>
      </c>
      <c r="I273" s="507">
        <f>(DSUM('3_Emissions processos'!$E$13:$K$35,"emissions",'6.1_Resultats Illes Balears'!E$71:E273)/1000)-SUM(I$72:I272)</f>
        <v>0</v>
      </c>
      <c r="J273" s="507"/>
      <c r="K273" s="508">
        <f t="shared" si="6"/>
        <v>0</v>
      </c>
      <c r="L273" s="508"/>
      <c r="M273" s="508"/>
      <c r="N273" s="507">
        <f>((DSUM('4.1_Electricitat Illes Balears'!$E$20:$J$42,"emisiones",'6.1_Resultats Illes Balears'!E$71:E273)+DSUM('4.1_Electricitat Illes Balears'!$E$50:$K$70,"emisiones",'6.1_Resultats Illes Balears'!E$71:E273))/1000)-SUM(N$72:N272)</f>
        <v>0</v>
      </c>
      <c r="O273" s="508"/>
      <c r="P273" s="508">
        <f t="shared" si="7"/>
        <v>0</v>
      </c>
      <c r="Q273" s="508"/>
      <c r="R273" s="508"/>
    </row>
    <row r="274" spans="1:18" x14ac:dyDescent="0.3">
      <c r="A274" s="198"/>
      <c r="E274" s="197" t="str">
        <f>IF(Dades!E864="","",Dades!E864)</f>
        <v/>
      </c>
      <c r="F274" s="396">
        <f>(DSUM('1_Combustibles fòssils'!$E$17:$N$39,"emissions",'6.1_Resultats Illes Balears'!E$71:E274)/1000)-SUM(F$72:F273)</f>
        <v>0</v>
      </c>
      <c r="G274" s="396">
        <f>((DSUM('1_Combustibles fòssils'!$E$47:$U$67,"emissions1",'6.1_Resultats Illes Balears'!E$71:E274)+DSUM('1_Combustibles fòssils'!$E$47:$U$67,"emissions2",'6.1_Resultats Illes Balears'!E$71:E274))/1000)-SUM(G$72:G273)</f>
        <v>0</v>
      </c>
      <c r="H274" s="396">
        <f>(DSUM('2_Fluorats'!$E$11:$P$33,"emissions",'6.1_Resultats Illes Balears'!E$71:E274)/1000)-SUM(H$72:H273)</f>
        <v>0</v>
      </c>
      <c r="I274" s="507">
        <f>(DSUM('3_Emissions processos'!$E$13:$K$35,"emissions",'6.1_Resultats Illes Balears'!E$71:E274)/1000)-SUM(I$72:I273)</f>
        <v>0</v>
      </c>
      <c r="J274" s="507"/>
      <c r="K274" s="508">
        <f t="shared" si="6"/>
        <v>0</v>
      </c>
      <c r="L274" s="508"/>
      <c r="M274" s="508"/>
      <c r="N274" s="507">
        <f>((DSUM('4.1_Electricitat Illes Balears'!$E$20:$J$42,"emisiones",'6.1_Resultats Illes Balears'!E$71:E274)+DSUM('4.1_Electricitat Illes Balears'!$E$50:$K$70,"emisiones",'6.1_Resultats Illes Balears'!E$71:E274))/1000)-SUM(N$72:N273)</f>
        <v>0</v>
      </c>
      <c r="O274" s="508"/>
      <c r="P274" s="508">
        <f t="shared" si="7"/>
        <v>0</v>
      </c>
      <c r="Q274" s="508"/>
      <c r="R274" s="508"/>
    </row>
    <row r="275" spans="1:18" x14ac:dyDescent="0.3">
      <c r="A275" s="198"/>
      <c r="E275" s="197" t="str">
        <f>IF(Dades!E865="","",Dades!E865)</f>
        <v/>
      </c>
      <c r="F275" s="396">
        <f>(DSUM('1_Combustibles fòssils'!$E$17:$N$39,"emissions",'6.1_Resultats Illes Balears'!E$71:E275)/1000)-SUM(F$72:F274)</f>
        <v>0</v>
      </c>
      <c r="G275" s="396">
        <f>((DSUM('1_Combustibles fòssils'!$E$47:$U$67,"emissions1",'6.1_Resultats Illes Balears'!E$71:E275)+DSUM('1_Combustibles fòssils'!$E$47:$U$67,"emissions2",'6.1_Resultats Illes Balears'!E$71:E275))/1000)-SUM(G$72:G274)</f>
        <v>0</v>
      </c>
      <c r="H275" s="396">
        <f>(DSUM('2_Fluorats'!$E$11:$P$33,"emissions",'6.1_Resultats Illes Balears'!E$71:E275)/1000)-SUM(H$72:H274)</f>
        <v>0</v>
      </c>
      <c r="I275" s="507">
        <f>(DSUM('3_Emissions processos'!$E$13:$K$35,"emissions",'6.1_Resultats Illes Balears'!E$71:E275)/1000)-SUM(I$72:I274)</f>
        <v>0</v>
      </c>
      <c r="J275" s="507"/>
      <c r="K275" s="508">
        <f t="shared" si="6"/>
        <v>0</v>
      </c>
      <c r="L275" s="508"/>
      <c r="M275" s="508"/>
      <c r="N275" s="507">
        <f>((DSUM('4.1_Electricitat Illes Balears'!$E$20:$J$42,"emisiones",'6.1_Resultats Illes Balears'!E$71:E275)+DSUM('4.1_Electricitat Illes Balears'!$E$50:$K$70,"emisiones",'6.1_Resultats Illes Balears'!E$71:E275))/1000)-SUM(N$72:N274)</f>
        <v>0</v>
      </c>
      <c r="O275" s="508"/>
      <c r="P275" s="508">
        <f t="shared" si="7"/>
        <v>0</v>
      </c>
      <c r="Q275" s="508"/>
      <c r="R275" s="508"/>
    </row>
    <row r="276" spans="1:18" x14ac:dyDescent="0.3">
      <c r="A276" s="198"/>
      <c r="E276" s="197" t="str">
        <f>IF(Dades!E866="","",Dades!E866)</f>
        <v/>
      </c>
      <c r="F276" s="396">
        <f>(DSUM('1_Combustibles fòssils'!$E$17:$N$39,"emissions",'6.1_Resultats Illes Balears'!E$71:E276)/1000)-SUM(F$72:F275)</f>
        <v>0</v>
      </c>
      <c r="G276" s="396">
        <f>((DSUM('1_Combustibles fòssils'!$E$47:$U$67,"emissions1",'6.1_Resultats Illes Balears'!E$71:E276)+DSUM('1_Combustibles fòssils'!$E$47:$U$67,"emissions2",'6.1_Resultats Illes Balears'!E$71:E276))/1000)-SUM(G$72:G275)</f>
        <v>0</v>
      </c>
      <c r="H276" s="396">
        <f>(DSUM('2_Fluorats'!$E$11:$P$33,"emissions",'6.1_Resultats Illes Balears'!E$71:E276)/1000)-SUM(H$72:H275)</f>
        <v>0</v>
      </c>
      <c r="I276" s="507">
        <f>(DSUM('3_Emissions processos'!$E$13:$K$35,"emissions",'6.1_Resultats Illes Balears'!E$71:E276)/1000)-SUM(I$72:I275)</f>
        <v>0</v>
      </c>
      <c r="J276" s="507"/>
      <c r="K276" s="508">
        <f t="shared" si="6"/>
        <v>0</v>
      </c>
      <c r="L276" s="508"/>
      <c r="M276" s="508"/>
      <c r="N276" s="507">
        <f>((DSUM('4.1_Electricitat Illes Balears'!$E$20:$J$42,"emisiones",'6.1_Resultats Illes Balears'!E$71:E276)+DSUM('4.1_Electricitat Illes Balears'!$E$50:$K$70,"emisiones",'6.1_Resultats Illes Balears'!E$71:E276))/1000)-SUM(N$72:N275)</f>
        <v>0</v>
      </c>
      <c r="O276" s="508"/>
      <c r="P276" s="508">
        <f t="shared" si="7"/>
        <v>0</v>
      </c>
      <c r="Q276" s="508"/>
      <c r="R276" s="508"/>
    </row>
    <row r="277" spans="1:18" x14ac:dyDescent="0.3">
      <c r="A277" s="198"/>
      <c r="E277" s="197" t="str">
        <f>IF(Dades!E867="","",Dades!E867)</f>
        <v/>
      </c>
      <c r="F277" s="396">
        <f>(DSUM('1_Combustibles fòssils'!$E$17:$N$39,"emissions",'6.1_Resultats Illes Balears'!E$71:E277)/1000)-SUM(F$72:F276)</f>
        <v>0</v>
      </c>
      <c r="G277" s="396">
        <f>((DSUM('1_Combustibles fòssils'!$E$47:$U$67,"emissions1",'6.1_Resultats Illes Balears'!E$71:E277)+DSUM('1_Combustibles fòssils'!$E$47:$U$67,"emissions2",'6.1_Resultats Illes Balears'!E$71:E277))/1000)-SUM(G$72:G276)</f>
        <v>0</v>
      </c>
      <c r="H277" s="396">
        <f>(DSUM('2_Fluorats'!$E$11:$P$33,"emissions",'6.1_Resultats Illes Balears'!E$71:E277)/1000)-SUM(H$72:H276)</f>
        <v>0</v>
      </c>
      <c r="I277" s="507">
        <f>(DSUM('3_Emissions processos'!$E$13:$K$35,"emissions",'6.1_Resultats Illes Balears'!E$71:E277)/1000)-SUM(I$72:I276)</f>
        <v>0</v>
      </c>
      <c r="J277" s="507"/>
      <c r="K277" s="508">
        <f t="shared" si="6"/>
        <v>0</v>
      </c>
      <c r="L277" s="508"/>
      <c r="M277" s="508"/>
      <c r="N277" s="507">
        <f>((DSUM('4.1_Electricitat Illes Balears'!$E$20:$J$42,"emisiones",'6.1_Resultats Illes Balears'!E$71:E277)+DSUM('4.1_Electricitat Illes Balears'!$E$50:$K$70,"emisiones",'6.1_Resultats Illes Balears'!E$71:E277))/1000)-SUM(N$72:N276)</f>
        <v>0</v>
      </c>
      <c r="O277" s="508"/>
      <c r="P277" s="508">
        <f t="shared" si="7"/>
        <v>0</v>
      </c>
      <c r="Q277" s="508"/>
      <c r="R277" s="508"/>
    </row>
    <row r="278" spans="1:18" x14ac:dyDescent="0.3">
      <c r="A278" s="198"/>
      <c r="E278" s="197" t="str">
        <f>IF(Dades!E868="","",Dades!E868)</f>
        <v/>
      </c>
      <c r="F278" s="396">
        <f>(DSUM('1_Combustibles fòssils'!$E$17:$N$39,"emissions",'6.1_Resultats Illes Balears'!E$71:E278)/1000)-SUM(F$72:F277)</f>
        <v>0</v>
      </c>
      <c r="G278" s="396">
        <f>((DSUM('1_Combustibles fòssils'!$E$47:$U$67,"emissions1",'6.1_Resultats Illes Balears'!E$71:E278)+DSUM('1_Combustibles fòssils'!$E$47:$U$67,"emissions2",'6.1_Resultats Illes Balears'!E$71:E278))/1000)-SUM(G$72:G277)</f>
        <v>0</v>
      </c>
      <c r="H278" s="396">
        <f>(DSUM('2_Fluorats'!$E$11:$P$33,"emissions",'6.1_Resultats Illes Balears'!E$71:E278)/1000)-SUM(H$72:H277)</f>
        <v>0</v>
      </c>
      <c r="I278" s="507">
        <f>(DSUM('3_Emissions processos'!$E$13:$K$35,"emissions",'6.1_Resultats Illes Balears'!E$71:E278)/1000)-SUM(I$72:I277)</f>
        <v>0</v>
      </c>
      <c r="J278" s="507"/>
      <c r="K278" s="508">
        <f t="shared" si="6"/>
        <v>0</v>
      </c>
      <c r="L278" s="508"/>
      <c r="M278" s="508"/>
      <c r="N278" s="507">
        <f>((DSUM('4.1_Electricitat Illes Balears'!$E$20:$J$42,"emisiones",'6.1_Resultats Illes Balears'!E$71:E278)+DSUM('4.1_Electricitat Illes Balears'!$E$50:$K$70,"emisiones",'6.1_Resultats Illes Balears'!E$71:E278))/1000)-SUM(N$72:N277)</f>
        <v>0</v>
      </c>
      <c r="O278" s="508"/>
      <c r="P278" s="508">
        <f t="shared" si="7"/>
        <v>0</v>
      </c>
      <c r="Q278" s="508"/>
      <c r="R278" s="508"/>
    </row>
    <row r="279" spans="1:18" x14ac:dyDescent="0.3">
      <c r="A279" s="198"/>
      <c r="E279" s="197" t="str">
        <f>IF(Dades!E869="","",Dades!E869)</f>
        <v/>
      </c>
      <c r="F279" s="396">
        <f>(DSUM('1_Combustibles fòssils'!$E$17:$N$39,"emissions",'6.1_Resultats Illes Balears'!E$71:E279)/1000)-SUM(F$72:F278)</f>
        <v>0</v>
      </c>
      <c r="G279" s="396">
        <f>((DSUM('1_Combustibles fòssils'!$E$47:$U$67,"emissions1",'6.1_Resultats Illes Balears'!E$71:E279)+DSUM('1_Combustibles fòssils'!$E$47:$U$67,"emissions2",'6.1_Resultats Illes Balears'!E$71:E279))/1000)-SUM(G$72:G278)</f>
        <v>0</v>
      </c>
      <c r="H279" s="396">
        <f>(DSUM('2_Fluorats'!$E$11:$P$33,"emissions",'6.1_Resultats Illes Balears'!E$71:E279)/1000)-SUM(H$72:H278)</f>
        <v>0</v>
      </c>
      <c r="I279" s="507">
        <f>(DSUM('3_Emissions processos'!$E$13:$K$35,"emissions",'6.1_Resultats Illes Balears'!E$71:E279)/1000)-SUM(I$72:I278)</f>
        <v>0</v>
      </c>
      <c r="J279" s="507"/>
      <c r="K279" s="508">
        <f t="shared" si="6"/>
        <v>0</v>
      </c>
      <c r="L279" s="508"/>
      <c r="M279" s="508"/>
      <c r="N279" s="507">
        <f>((DSUM('4.1_Electricitat Illes Balears'!$E$20:$J$42,"emisiones",'6.1_Resultats Illes Balears'!E$71:E279)+DSUM('4.1_Electricitat Illes Balears'!$E$50:$K$70,"emisiones",'6.1_Resultats Illes Balears'!E$71:E279))/1000)-SUM(N$72:N278)</f>
        <v>0</v>
      </c>
      <c r="O279" s="508"/>
      <c r="P279" s="508">
        <f t="shared" si="7"/>
        <v>0</v>
      </c>
      <c r="Q279" s="508"/>
      <c r="R279" s="508"/>
    </row>
    <row r="280" spans="1:18" x14ac:dyDescent="0.3">
      <c r="A280" s="198"/>
      <c r="E280" s="197" t="str">
        <f>IF(Dades!E870="","",Dades!E870)</f>
        <v/>
      </c>
      <c r="F280" s="396">
        <f>(DSUM('1_Combustibles fòssils'!$E$17:$N$39,"emissions",'6.1_Resultats Illes Balears'!E$71:E280)/1000)-SUM(F$72:F279)</f>
        <v>0</v>
      </c>
      <c r="G280" s="396">
        <f>((DSUM('1_Combustibles fòssils'!$E$47:$U$67,"emissions1",'6.1_Resultats Illes Balears'!E$71:E280)+DSUM('1_Combustibles fòssils'!$E$47:$U$67,"emissions2",'6.1_Resultats Illes Balears'!E$71:E280))/1000)-SUM(G$72:G279)</f>
        <v>0</v>
      </c>
      <c r="H280" s="396">
        <f>(DSUM('2_Fluorats'!$E$11:$P$33,"emissions",'6.1_Resultats Illes Balears'!E$71:E280)/1000)-SUM(H$72:H279)</f>
        <v>0</v>
      </c>
      <c r="I280" s="507">
        <f>(DSUM('3_Emissions processos'!$E$13:$K$35,"emissions",'6.1_Resultats Illes Balears'!E$71:E280)/1000)-SUM(I$72:I279)</f>
        <v>0</v>
      </c>
      <c r="J280" s="507"/>
      <c r="K280" s="508">
        <f t="shared" si="6"/>
        <v>0</v>
      </c>
      <c r="L280" s="508"/>
      <c r="M280" s="508"/>
      <c r="N280" s="507">
        <f>((DSUM('4.1_Electricitat Illes Balears'!$E$20:$J$42,"emisiones",'6.1_Resultats Illes Balears'!E$71:E280)+DSUM('4.1_Electricitat Illes Balears'!$E$50:$K$70,"emisiones",'6.1_Resultats Illes Balears'!E$71:E280))/1000)-SUM(N$72:N279)</f>
        <v>0</v>
      </c>
      <c r="O280" s="508"/>
      <c r="P280" s="508">
        <f t="shared" si="7"/>
        <v>0</v>
      </c>
      <c r="Q280" s="508"/>
      <c r="R280" s="508"/>
    </row>
    <row r="281" spans="1:18" x14ac:dyDescent="0.3">
      <c r="A281" s="198"/>
      <c r="E281" s="197" t="str">
        <f>IF(Dades!E871="","",Dades!E871)</f>
        <v/>
      </c>
      <c r="F281" s="396">
        <f>(DSUM('1_Combustibles fòssils'!$E$17:$N$39,"emissions",'6.1_Resultats Illes Balears'!E$71:E281)/1000)-SUM(F$72:F280)</f>
        <v>0</v>
      </c>
      <c r="G281" s="396">
        <f>((DSUM('1_Combustibles fòssils'!$E$47:$U$67,"emissions1",'6.1_Resultats Illes Balears'!E$71:E281)+DSUM('1_Combustibles fòssils'!$E$47:$U$67,"emissions2",'6.1_Resultats Illes Balears'!E$71:E281))/1000)-SUM(G$72:G280)</f>
        <v>0</v>
      </c>
      <c r="H281" s="396">
        <f>(DSUM('2_Fluorats'!$E$11:$P$33,"emissions",'6.1_Resultats Illes Balears'!E$71:E281)/1000)-SUM(H$72:H280)</f>
        <v>0</v>
      </c>
      <c r="I281" s="507">
        <f>(DSUM('3_Emissions processos'!$E$13:$K$35,"emissions",'6.1_Resultats Illes Balears'!E$71:E281)/1000)-SUM(I$72:I280)</f>
        <v>0</v>
      </c>
      <c r="J281" s="507"/>
      <c r="K281" s="508">
        <f t="shared" si="6"/>
        <v>0</v>
      </c>
      <c r="L281" s="508"/>
      <c r="M281" s="508"/>
      <c r="N281" s="507">
        <f>((DSUM('4.1_Electricitat Illes Balears'!$E$20:$J$42,"emisiones",'6.1_Resultats Illes Balears'!E$71:E281)+DSUM('4.1_Electricitat Illes Balears'!$E$50:$K$70,"emisiones",'6.1_Resultats Illes Balears'!E$71:E281))/1000)-SUM(N$72:N280)</f>
        <v>0</v>
      </c>
      <c r="O281" s="508"/>
      <c r="P281" s="508">
        <f t="shared" si="7"/>
        <v>0</v>
      </c>
      <c r="Q281" s="508"/>
      <c r="R281" s="508"/>
    </row>
    <row r="282" spans="1:18" x14ac:dyDescent="0.3">
      <c r="A282" s="198"/>
      <c r="E282" s="197" t="str">
        <f>IF(Dades!E872="","",Dades!E872)</f>
        <v/>
      </c>
      <c r="F282" s="396">
        <f>(DSUM('1_Combustibles fòssils'!$E$17:$N$39,"emissions",'6.1_Resultats Illes Balears'!E$71:E282)/1000)-SUM(F$72:F281)</f>
        <v>0</v>
      </c>
      <c r="G282" s="396">
        <f>((DSUM('1_Combustibles fòssils'!$E$47:$U$67,"emissions1",'6.1_Resultats Illes Balears'!E$71:E282)+DSUM('1_Combustibles fòssils'!$E$47:$U$67,"emissions2",'6.1_Resultats Illes Balears'!E$71:E282))/1000)-SUM(G$72:G281)</f>
        <v>0</v>
      </c>
      <c r="H282" s="396">
        <f>(DSUM('2_Fluorats'!$E$11:$P$33,"emissions",'6.1_Resultats Illes Balears'!E$71:E282)/1000)-SUM(H$72:H281)</f>
        <v>0</v>
      </c>
      <c r="I282" s="507">
        <f>(DSUM('3_Emissions processos'!$E$13:$K$35,"emissions",'6.1_Resultats Illes Balears'!E$71:E282)/1000)-SUM(I$72:I281)</f>
        <v>0</v>
      </c>
      <c r="J282" s="507"/>
      <c r="K282" s="508">
        <f t="shared" si="6"/>
        <v>0</v>
      </c>
      <c r="L282" s="508"/>
      <c r="M282" s="508"/>
      <c r="N282" s="507">
        <f>((DSUM('4.1_Electricitat Illes Balears'!$E$20:$J$42,"emisiones",'6.1_Resultats Illes Balears'!E$71:E282)+DSUM('4.1_Electricitat Illes Balears'!$E$50:$K$70,"emisiones",'6.1_Resultats Illes Balears'!E$71:E282))/1000)-SUM(N$72:N281)</f>
        <v>0</v>
      </c>
      <c r="O282" s="508"/>
      <c r="P282" s="508">
        <f t="shared" si="7"/>
        <v>0</v>
      </c>
      <c r="Q282" s="508"/>
      <c r="R282" s="508"/>
    </row>
    <row r="283" spans="1:18" x14ac:dyDescent="0.3">
      <c r="A283" s="198"/>
      <c r="E283" s="197" t="str">
        <f>IF(Dades!E873="","",Dades!E873)</f>
        <v/>
      </c>
      <c r="F283" s="396">
        <f>(DSUM('1_Combustibles fòssils'!$E$17:$N$39,"emissions",'6.1_Resultats Illes Balears'!E$71:E283)/1000)-SUM(F$72:F282)</f>
        <v>0</v>
      </c>
      <c r="G283" s="396">
        <f>((DSUM('1_Combustibles fòssils'!$E$47:$U$67,"emissions1",'6.1_Resultats Illes Balears'!E$71:E283)+DSUM('1_Combustibles fòssils'!$E$47:$U$67,"emissions2",'6.1_Resultats Illes Balears'!E$71:E283))/1000)-SUM(G$72:G282)</f>
        <v>0</v>
      </c>
      <c r="H283" s="396">
        <f>(DSUM('2_Fluorats'!$E$11:$P$33,"emissions",'6.1_Resultats Illes Balears'!E$71:E283)/1000)-SUM(H$72:H282)</f>
        <v>0</v>
      </c>
      <c r="I283" s="507">
        <f>(DSUM('3_Emissions processos'!$E$13:$K$35,"emissions",'6.1_Resultats Illes Balears'!E$71:E283)/1000)-SUM(I$72:I282)</f>
        <v>0</v>
      </c>
      <c r="J283" s="507"/>
      <c r="K283" s="508">
        <f t="shared" si="6"/>
        <v>0</v>
      </c>
      <c r="L283" s="508"/>
      <c r="M283" s="508"/>
      <c r="N283" s="507">
        <f>((DSUM('4.1_Electricitat Illes Balears'!$E$20:$J$42,"emisiones",'6.1_Resultats Illes Balears'!E$71:E283)+DSUM('4.1_Electricitat Illes Balears'!$E$50:$K$70,"emisiones",'6.1_Resultats Illes Balears'!E$71:E283))/1000)-SUM(N$72:N282)</f>
        <v>0</v>
      </c>
      <c r="O283" s="508"/>
      <c r="P283" s="508">
        <f t="shared" si="7"/>
        <v>0</v>
      </c>
      <c r="Q283" s="508"/>
      <c r="R283" s="508"/>
    </row>
    <row r="284" spans="1:18" x14ac:dyDescent="0.3">
      <c r="A284" s="198"/>
      <c r="E284" s="197" t="str">
        <f>IF(Dades!E874="","",Dades!E874)</f>
        <v/>
      </c>
      <c r="F284" s="396">
        <f>(DSUM('1_Combustibles fòssils'!$E$17:$N$39,"emissions",'6.1_Resultats Illes Balears'!E$71:E284)/1000)-SUM(F$72:F283)</f>
        <v>0</v>
      </c>
      <c r="G284" s="396">
        <f>((DSUM('1_Combustibles fòssils'!$E$47:$U$67,"emissions1",'6.1_Resultats Illes Balears'!E$71:E284)+DSUM('1_Combustibles fòssils'!$E$47:$U$67,"emissions2",'6.1_Resultats Illes Balears'!E$71:E284))/1000)-SUM(G$72:G283)</f>
        <v>0</v>
      </c>
      <c r="H284" s="396">
        <f>(DSUM('2_Fluorats'!$E$11:$P$33,"emissions",'6.1_Resultats Illes Balears'!E$71:E284)/1000)-SUM(H$72:H283)</f>
        <v>0</v>
      </c>
      <c r="I284" s="507">
        <f>(DSUM('3_Emissions processos'!$E$13:$K$35,"emissions",'6.1_Resultats Illes Balears'!E$71:E284)/1000)-SUM(I$72:I283)</f>
        <v>0</v>
      </c>
      <c r="J284" s="507"/>
      <c r="K284" s="508">
        <f t="shared" si="6"/>
        <v>0</v>
      </c>
      <c r="L284" s="508"/>
      <c r="M284" s="508"/>
      <c r="N284" s="507">
        <f>((DSUM('4.1_Electricitat Illes Balears'!$E$20:$J$42,"emisiones",'6.1_Resultats Illes Balears'!E$71:E284)+DSUM('4.1_Electricitat Illes Balears'!$E$50:$K$70,"emisiones",'6.1_Resultats Illes Balears'!E$71:E284))/1000)-SUM(N$72:N283)</f>
        <v>0</v>
      </c>
      <c r="O284" s="508"/>
      <c r="P284" s="508">
        <f t="shared" si="7"/>
        <v>0</v>
      </c>
      <c r="Q284" s="508"/>
      <c r="R284" s="508"/>
    </row>
    <row r="285" spans="1:18" x14ac:dyDescent="0.3">
      <c r="A285" s="198"/>
      <c r="E285" s="197" t="str">
        <f>IF(Dades!E875="","",Dades!E875)</f>
        <v/>
      </c>
      <c r="F285" s="396">
        <f>(DSUM('1_Combustibles fòssils'!$E$17:$N$39,"emissions",'6.1_Resultats Illes Balears'!E$71:E285)/1000)-SUM(F$72:F284)</f>
        <v>0</v>
      </c>
      <c r="G285" s="396">
        <f>((DSUM('1_Combustibles fòssils'!$E$47:$U$67,"emissions1",'6.1_Resultats Illes Balears'!E$71:E285)+DSUM('1_Combustibles fòssils'!$E$47:$U$67,"emissions2",'6.1_Resultats Illes Balears'!E$71:E285))/1000)-SUM(G$72:G284)</f>
        <v>0</v>
      </c>
      <c r="H285" s="396">
        <f>(DSUM('2_Fluorats'!$E$11:$P$33,"emissions",'6.1_Resultats Illes Balears'!E$71:E285)/1000)-SUM(H$72:H284)</f>
        <v>0</v>
      </c>
      <c r="I285" s="507">
        <f>(DSUM('3_Emissions processos'!$E$13:$K$35,"emissions",'6.1_Resultats Illes Balears'!E$71:E285)/1000)-SUM(I$72:I284)</f>
        <v>0</v>
      </c>
      <c r="J285" s="507"/>
      <c r="K285" s="508">
        <f t="shared" si="6"/>
        <v>0</v>
      </c>
      <c r="L285" s="508"/>
      <c r="M285" s="508"/>
      <c r="N285" s="507">
        <f>((DSUM('4.1_Electricitat Illes Balears'!$E$20:$J$42,"emisiones",'6.1_Resultats Illes Balears'!E$71:E285)+DSUM('4.1_Electricitat Illes Balears'!$E$50:$K$70,"emisiones",'6.1_Resultats Illes Balears'!E$71:E285))/1000)-SUM(N$72:N284)</f>
        <v>0</v>
      </c>
      <c r="O285" s="508"/>
      <c r="P285" s="508">
        <f t="shared" si="7"/>
        <v>0</v>
      </c>
      <c r="Q285" s="508"/>
      <c r="R285" s="508"/>
    </row>
    <row r="286" spans="1:18" x14ac:dyDescent="0.3">
      <c r="A286" s="198"/>
      <c r="E286" s="197" t="str">
        <f>IF(Dades!E876="","",Dades!E876)</f>
        <v/>
      </c>
      <c r="F286" s="396">
        <f>(DSUM('1_Combustibles fòssils'!$E$17:$N$39,"emissions",'6.1_Resultats Illes Balears'!E$71:E286)/1000)-SUM(F$72:F285)</f>
        <v>0</v>
      </c>
      <c r="G286" s="396">
        <f>((DSUM('1_Combustibles fòssils'!$E$47:$U$67,"emissions1",'6.1_Resultats Illes Balears'!E$71:E286)+DSUM('1_Combustibles fòssils'!$E$47:$U$67,"emissions2",'6.1_Resultats Illes Balears'!E$71:E286))/1000)-SUM(G$72:G285)</f>
        <v>0</v>
      </c>
      <c r="H286" s="396">
        <f>(DSUM('2_Fluorats'!$E$11:$P$33,"emissions",'6.1_Resultats Illes Balears'!E$71:E286)/1000)-SUM(H$72:H285)</f>
        <v>0</v>
      </c>
      <c r="I286" s="507">
        <f>(DSUM('3_Emissions processos'!$E$13:$K$35,"emissions",'6.1_Resultats Illes Balears'!E$71:E286)/1000)-SUM(I$72:I285)</f>
        <v>0</v>
      </c>
      <c r="J286" s="507"/>
      <c r="K286" s="508">
        <f t="shared" si="6"/>
        <v>0</v>
      </c>
      <c r="L286" s="508"/>
      <c r="M286" s="508"/>
      <c r="N286" s="507">
        <f>((DSUM('4.1_Electricitat Illes Balears'!$E$20:$J$42,"emisiones",'6.1_Resultats Illes Balears'!E$71:E286)+DSUM('4.1_Electricitat Illes Balears'!$E$50:$K$70,"emisiones",'6.1_Resultats Illes Balears'!E$71:E286))/1000)-SUM(N$72:N285)</f>
        <v>0</v>
      </c>
      <c r="O286" s="508"/>
      <c r="P286" s="508">
        <f t="shared" si="7"/>
        <v>0</v>
      </c>
      <c r="Q286" s="508"/>
      <c r="R286" s="508"/>
    </row>
    <row r="287" spans="1:18" x14ac:dyDescent="0.3">
      <c r="A287" s="198"/>
      <c r="E287" s="197" t="str">
        <f>IF(Dades!E877="","",Dades!E877)</f>
        <v/>
      </c>
      <c r="F287" s="396">
        <f>(DSUM('1_Combustibles fòssils'!$E$17:$N$39,"emissions",'6.1_Resultats Illes Balears'!E$71:E287)/1000)-SUM(F$72:F286)</f>
        <v>0</v>
      </c>
      <c r="G287" s="396">
        <f>((DSUM('1_Combustibles fòssils'!$E$47:$U$67,"emissions1",'6.1_Resultats Illes Balears'!E$71:E287)+DSUM('1_Combustibles fòssils'!$E$47:$U$67,"emissions2",'6.1_Resultats Illes Balears'!E$71:E287))/1000)-SUM(G$72:G286)</f>
        <v>0</v>
      </c>
      <c r="H287" s="396">
        <f>(DSUM('2_Fluorats'!$E$11:$P$33,"emissions",'6.1_Resultats Illes Balears'!E$71:E287)/1000)-SUM(H$72:H286)</f>
        <v>0</v>
      </c>
      <c r="I287" s="507">
        <f>(DSUM('3_Emissions processos'!$E$13:$K$35,"emissions",'6.1_Resultats Illes Balears'!E$71:E287)/1000)-SUM(I$72:I286)</f>
        <v>0</v>
      </c>
      <c r="J287" s="507"/>
      <c r="K287" s="508">
        <f t="shared" si="6"/>
        <v>0</v>
      </c>
      <c r="L287" s="508"/>
      <c r="M287" s="508"/>
      <c r="N287" s="507">
        <f>((DSUM('4.1_Electricitat Illes Balears'!$E$20:$J$42,"emisiones",'6.1_Resultats Illes Balears'!E$71:E287)+DSUM('4.1_Electricitat Illes Balears'!$E$50:$K$70,"emisiones",'6.1_Resultats Illes Balears'!E$71:E287))/1000)-SUM(N$72:N286)</f>
        <v>0</v>
      </c>
      <c r="O287" s="508"/>
      <c r="P287" s="508">
        <f t="shared" si="7"/>
        <v>0</v>
      </c>
      <c r="Q287" s="508"/>
      <c r="R287" s="508"/>
    </row>
    <row r="288" spans="1:18" x14ac:dyDescent="0.3">
      <c r="A288" s="198"/>
      <c r="E288" s="197" t="str">
        <f>IF(Dades!E878="","",Dades!E878)</f>
        <v/>
      </c>
      <c r="F288" s="396">
        <f>(DSUM('1_Combustibles fòssils'!$E$17:$N$39,"emissions",'6.1_Resultats Illes Balears'!E$71:E288)/1000)-SUM(F$72:F287)</f>
        <v>0</v>
      </c>
      <c r="G288" s="396">
        <f>((DSUM('1_Combustibles fòssils'!$E$47:$U$67,"emissions1",'6.1_Resultats Illes Balears'!E$71:E288)+DSUM('1_Combustibles fòssils'!$E$47:$U$67,"emissions2",'6.1_Resultats Illes Balears'!E$71:E288))/1000)-SUM(G$72:G287)</f>
        <v>0</v>
      </c>
      <c r="H288" s="396">
        <f>(DSUM('2_Fluorats'!$E$11:$P$33,"emissions",'6.1_Resultats Illes Balears'!E$71:E288)/1000)-SUM(H$72:H287)</f>
        <v>0</v>
      </c>
      <c r="I288" s="507">
        <f>(DSUM('3_Emissions processos'!$E$13:$K$35,"emissions",'6.1_Resultats Illes Balears'!E$71:E288)/1000)-SUM(I$72:I287)</f>
        <v>0</v>
      </c>
      <c r="J288" s="507"/>
      <c r="K288" s="508">
        <f t="shared" si="6"/>
        <v>0</v>
      </c>
      <c r="L288" s="508"/>
      <c r="M288" s="508"/>
      <c r="N288" s="507">
        <f>((DSUM('4.1_Electricitat Illes Balears'!$E$20:$J$42,"emisiones",'6.1_Resultats Illes Balears'!E$71:E288)+DSUM('4.1_Electricitat Illes Balears'!$E$50:$K$70,"emisiones",'6.1_Resultats Illes Balears'!E$71:E288))/1000)-SUM(N$72:N287)</f>
        <v>0</v>
      </c>
      <c r="O288" s="508"/>
      <c r="P288" s="508">
        <f t="shared" si="7"/>
        <v>0</v>
      </c>
      <c r="Q288" s="508"/>
      <c r="R288" s="508"/>
    </row>
    <row r="289" spans="1:18" x14ac:dyDescent="0.3">
      <c r="A289" s="198"/>
      <c r="E289" s="197" t="str">
        <f>IF(Dades!E879="","",Dades!E879)</f>
        <v/>
      </c>
      <c r="F289" s="396">
        <f>(DSUM('1_Combustibles fòssils'!$E$17:$N$39,"emissions",'6.1_Resultats Illes Balears'!E$71:E289)/1000)-SUM(F$72:F288)</f>
        <v>0</v>
      </c>
      <c r="G289" s="396">
        <f>((DSUM('1_Combustibles fòssils'!$E$47:$U$67,"emissions1",'6.1_Resultats Illes Balears'!E$71:E289)+DSUM('1_Combustibles fòssils'!$E$47:$U$67,"emissions2",'6.1_Resultats Illes Balears'!E$71:E289))/1000)-SUM(G$72:G288)</f>
        <v>0</v>
      </c>
      <c r="H289" s="396">
        <f>(DSUM('2_Fluorats'!$E$11:$P$33,"emissions",'6.1_Resultats Illes Balears'!E$71:E289)/1000)-SUM(H$72:H288)</f>
        <v>0</v>
      </c>
      <c r="I289" s="507">
        <f>(DSUM('3_Emissions processos'!$E$13:$K$35,"emissions",'6.1_Resultats Illes Balears'!E$71:E289)/1000)-SUM(I$72:I288)</f>
        <v>0</v>
      </c>
      <c r="J289" s="507"/>
      <c r="K289" s="508">
        <f t="shared" si="6"/>
        <v>0</v>
      </c>
      <c r="L289" s="508"/>
      <c r="M289" s="508"/>
      <c r="N289" s="507">
        <f>((DSUM('4.1_Electricitat Illes Balears'!$E$20:$J$42,"emisiones",'6.1_Resultats Illes Balears'!E$71:E289)+DSUM('4.1_Electricitat Illes Balears'!$E$50:$K$70,"emisiones",'6.1_Resultats Illes Balears'!E$71:E289))/1000)-SUM(N$72:N288)</f>
        <v>0</v>
      </c>
      <c r="O289" s="508"/>
      <c r="P289" s="508">
        <f t="shared" si="7"/>
        <v>0</v>
      </c>
      <c r="Q289" s="508"/>
      <c r="R289" s="508"/>
    </row>
    <row r="290" spans="1:18" x14ac:dyDescent="0.3">
      <c r="A290" s="198"/>
      <c r="E290" s="197" t="str">
        <f>IF(Dades!E880="","",Dades!E880)</f>
        <v/>
      </c>
      <c r="F290" s="396">
        <f>(DSUM('1_Combustibles fòssils'!$E$17:$N$39,"emissions",'6.1_Resultats Illes Balears'!E$71:E290)/1000)-SUM(F$72:F289)</f>
        <v>0</v>
      </c>
      <c r="G290" s="396">
        <f>((DSUM('1_Combustibles fòssils'!$E$47:$U$67,"emissions1",'6.1_Resultats Illes Balears'!E$71:E290)+DSUM('1_Combustibles fòssils'!$E$47:$U$67,"emissions2",'6.1_Resultats Illes Balears'!E$71:E290))/1000)-SUM(G$72:G289)</f>
        <v>0</v>
      </c>
      <c r="H290" s="396">
        <f>(DSUM('2_Fluorats'!$E$11:$P$33,"emissions",'6.1_Resultats Illes Balears'!E$71:E290)/1000)-SUM(H$72:H289)</f>
        <v>0</v>
      </c>
      <c r="I290" s="507">
        <f>(DSUM('3_Emissions processos'!$E$13:$K$35,"emissions",'6.1_Resultats Illes Balears'!E$71:E290)/1000)-SUM(I$72:I289)</f>
        <v>0</v>
      </c>
      <c r="J290" s="507"/>
      <c r="K290" s="508">
        <f t="shared" si="6"/>
        <v>0</v>
      </c>
      <c r="L290" s="508"/>
      <c r="M290" s="508"/>
      <c r="N290" s="507">
        <f>((DSUM('4.1_Electricitat Illes Balears'!$E$20:$J$42,"emisiones",'6.1_Resultats Illes Balears'!E$71:E290)+DSUM('4.1_Electricitat Illes Balears'!$E$50:$K$70,"emisiones",'6.1_Resultats Illes Balears'!E$71:E290))/1000)-SUM(N$72:N289)</f>
        <v>0</v>
      </c>
      <c r="O290" s="508"/>
      <c r="P290" s="508">
        <f t="shared" si="7"/>
        <v>0</v>
      </c>
      <c r="Q290" s="508"/>
      <c r="R290" s="508"/>
    </row>
    <row r="291" spans="1:18" x14ac:dyDescent="0.3">
      <c r="A291" s="198"/>
      <c r="E291" s="197" t="str">
        <f>IF(Dades!E881="","",Dades!E881)</f>
        <v/>
      </c>
      <c r="F291" s="396">
        <f>(DSUM('1_Combustibles fòssils'!$E$17:$N$39,"emissions",'6.1_Resultats Illes Balears'!E$71:E291)/1000)-SUM(F$72:F290)</f>
        <v>0</v>
      </c>
      <c r="G291" s="396">
        <f>((DSUM('1_Combustibles fòssils'!$E$47:$U$67,"emissions1",'6.1_Resultats Illes Balears'!E$71:E291)+DSUM('1_Combustibles fòssils'!$E$47:$U$67,"emissions2",'6.1_Resultats Illes Balears'!E$71:E291))/1000)-SUM(G$72:G290)</f>
        <v>0</v>
      </c>
      <c r="H291" s="396">
        <f>(DSUM('2_Fluorats'!$E$11:$P$33,"emissions",'6.1_Resultats Illes Balears'!E$71:E291)/1000)-SUM(H$72:H290)</f>
        <v>0</v>
      </c>
      <c r="I291" s="507">
        <f>(DSUM('3_Emissions processos'!$E$13:$K$35,"emissions",'6.1_Resultats Illes Balears'!E$71:E291)/1000)-SUM(I$72:I290)</f>
        <v>0</v>
      </c>
      <c r="J291" s="507"/>
      <c r="K291" s="508">
        <f t="shared" si="6"/>
        <v>0</v>
      </c>
      <c r="L291" s="508"/>
      <c r="M291" s="508"/>
      <c r="N291" s="507">
        <f>((DSUM('4.1_Electricitat Illes Balears'!$E$20:$J$42,"emisiones",'6.1_Resultats Illes Balears'!E$71:E291)+DSUM('4.1_Electricitat Illes Balears'!$E$50:$K$70,"emisiones",'6.1_Resultats Illes Balears'!E$71:E291))/1000)-SUM(N$72:N290)</f>
        <v>0</v>
      </c>
      <c r="O291" s="508"/>
      <c r="P291" s="508">
        <f t="shared" si="7"/>
        <v>0</v>
      </c>
      <c r="Q291" s="508"/>
      <c r="R291" s="508"/>
    </row>
    <row r="292" spans="1:18" x14ac:dyDescent="0.3">
      <c r="A292" s="198"/>
      <c r="E292" s="197" t="str">
        <f>IF(Dades!E882="","",Dades!E882)</f>
        <v/>
      </c>
      <c r="F292" s="396">
        <f>(DSUM('1_Combustibles fòssils'!$E$17:$N$39,"emissions",'6.1_Resultats Illes Balears'!E$71:E292)/1000)-SUM(F$72:F291)</f>
        <v>0</v>
      </c>
      <c r="G292" s="396">
        <f>((DSUM('1_Combustibles fòssils'!$E$47:$U$67,"emissions1",'6.1_Resultats Illes Balears'!E$71:E292)+DSUM('1_Combustibles fòssils'!$E$47:$U$67,"emissions2",'6.1_Resultats Illes Balears'!E$71:E292))/1000)-SUM(G$72:G291)</f>
        <v>0</v>
      </c>
      <c r="H292" s="396">
        <f>(DSUM('2_Fluorats'!$E$11:$P$33,"emissions",'6.1_Resultats Illes Balears'!E$71:E292)/1000)-SUM(H$72:H291)</f>
        <v>0</v>
      </c>
      <c r="I292" s="507">
        <f>(DSUM('3_Emissions processos'!$E$13:$K$35,"emissions",'6.1_Resultats Illes Balears'!E$71:E292)/1000)-SUM(I$72:I291)</f>
        <v>0</v>
      </c>
      <c r="J292" s="507"/>
      <c r="K292" s="508">
        <f t="shared" si="6"/>
        <v>0</v>
      </c>
      <c r="L292" s="508"/>
      <c r="M292" s="508"/>
      <c r="N292" s="507">
        <f>((DSUM('4.1_Electricitat Illes Balears'!$E$20:$J$42,"emisiones",'6.1_Resultats Illes Balears'!E$71:E292)+DSUM('4.1_Electricitat Illes Balears'!$E$50:$K$70,"emisiones",'6.1_Resultats Illes Balears'!E$71:E292))/1000)-SUM(N$72:N291)</f>
        <v>0</v>
      </c>
      <c r="O292" s="508"/>
      <c r="P292" s="508">
        <f t="shared" si="7"/>
        <v>0</v>
      </c>
      <c r="Q292" s="508"/>
      <c r="R292" s="508"/>
    </row>
    <row r="293" spans="1:18" x14ac:dyDescent="0.3">
      <c r="A293" s="198"/>
      <c r="E293" s="197" t="str">
        <f>IF(Dades!E883="","",Dades!E883)</f>
        <v/>
      </c>
      <c r="F293" s="396">
        <f>(DSUM('1_Combustibles fòssils'!$E$17:$N$39,"emissions",'6.1_Resultats Illes Balears'!E$71:E293)/1000)-SUM(F$72:F292)</f>
        <v>0</v>
      </c>
      <c r="G293" s="396">
        <f>((DSUM('1_Combustibles fòssils'!$E$47:$U$67,"emissions1",'6.1_Resultats Illes Balears'!E$71:E293)+DSUM('1_Combustibles fòssils'!$E$47:$U$67,"emissions2",'6.1_Resultats Illes Balears'!E$71:E293))/1000)-SUM(G$72:G292)</f>
        <v>0</v>
      </c>
      <c r="H293" s="396">
        <f>(DSUM('2_Fluorats'!$E$11:$P$33,"emissions",'6.1_Resultats Illes Balears'!E$71:E293)/1000)-SUM(H$72:H292)</f>
        <v>0</v>
      </c>
      <c r="I293" s="507">
        <f>(DSUM('3_Emissions processos'!$E$13:$K$35,"emissions",'6.1_Resultats Illes Balears'!E$71:E293)/1000)-SUM(I$72:I292)</f>
        <v>0</v>
      </c>
      <c r="J293" s="507"/>
      <c r="K293" s="508">
        <f t="shared" si="6"/>
        <v>0</v>
      </c>
      <c r="L293" s="508"/>
      <c r="M293" s="508"/>
      <c r="N293" s="507">
        <f>((DSUM('4.1_Electricitat Illes Balears'!$E$20:$J$42,"emisiones",'6.1_Resultats Illes Balears'!E$71:E293)+DSUM('4.1_Electricitat Illes Balears'!$E$50:$K$70,"emisiones",'6.1_Resultats Illes Balears'!E$71:E293))/1000)-SUM(N$72:N292)</f>
        <v>0</v>
      </c>
      <c r="O293" s="508"/>
      <c r="P293" s="508">
        <f t="shared" si="7"/>
        <v>0</v>
      </c>
      <c r="Q293" s="508"/>
      <c r="R293" s="508"/>
    </row>
    <row r="294" spans="1:18" x14ac:dyDescent="0.3">
      <c r="A294" s="198"/>
      <c r="E294" s="197" t="str">
        <f>IF(Dades!E884="","",Dades!E884)</f>
        <v/>
      </c>
      <c r="F294" s="396">
        <f>(DSUM('1_Combustibles fòssils'!$E$17:$N$39,"emissions",'6.1_Resultats Illes Balears'!E$71:E294)/1000)-SUM(F$72:F293)</f>
        <v>0</v>
      </c>
      <c r="G294" s="396">
        <f>((DSUM('1_Combustibles fòssils'!$E$47:$U$67,"emissions1",'6.1_Resultats Illes Balears'!E$71:E294)+DSUM('1_Combustibles fòssils'!$E$47:$U$67,"emissions2",'6.1_Resultats Illes Balears'!E$71:E294))/1000)-SUM(G$72:G293)</f>
        <v>0</v>
      </c>
      <c r="H294" s="396">
        <f>(DSUM('2_Fluorats'!$E$11:$P$33,"emissions",'6.1_Resultats Illes Balears'!E$71:E294)/1000)-SUM(H$72:H293)</f>
        <v>0</v>
      </c>
      <c r="I294" s="507">
        <f>(DSUM('3_Emissions processos'!$E$13:$K$35,"emissions",'6.1_Resultats Illes Balears'!E$71:E294)/1000)-SUM(I$72:I293)</f>
        <v>0</v>
      </c>
      <c r="J294" s="507"/>
      <c r="K294" s="508">
        <f t="shared" si="6"/>
        <v>0</v>
      </c>
      <c r="L294" s="508"/>
      <c r="M294" s="508"/>
      <c r="N294" s="507">
        <f>((DSUM('4.1_Electricitat Illes Balears'!$E$20:$J$42,"emisiones",'6.1_Resultats Illes Balears'!E$71:E294)+DSUM('4.1_Electricitat Illes Balears'!$E$50:$K$70,"emisiones",'6.1_Resultats Illes Balears'!E$71:E294))/1000)-SUM(N$72:N293)</f>
        <v>0</v>
      </c>
      <c r="O294" s="508"/>
      <c r="P294" s="508">
        <f t="shared" si="7"/>
        <v>0</v>
      </c>
      <c r="Q294" s="508"/>
      <c r="R294" s="508"/>
    </row>
    <row r="295" spans="1:18" x14ac:dyDescent="0.3">
      <c r="A295" s="198"/>
      <c r="E295" s="197" t="str">
        <f>IF(Dades!E885="","",Dades!E885)</f>
        <v/>
      </c>
      <c r="F295" s="396">
        <f>(DSUM('1_Combustibles fòssils'!$E$17:$N$39,"emissions",'6.1_Resultats Illes Balears'!E$71:E295)/1000)-SUM(F$72:F294)</f>
        <v>0</v>
      </c>
      <c r="G295" s="396">
        <f>((DSUM('1_Combustibles fòssils'!$E$47:$U$67,"emissions1",'6.1_Resultats Illes Balears'!E$71:E295)+DSUM('1_Combustibles fòssils'!$E$47:$U$67,"emissions2",'6.1_Resultats Illes Balears'!E$71:E295))/1000)-SUM(G$72:G294)</f>
        <v>0</v>
      </c>
      <c r="H295" s="396">
        <f>(DSUM('2_Fluorats'!$E$11:$P$33,"emissions",'6.1_Resultats Illes Balears'!E$71:E295)/1000)-SUM(H$72:H294)</f>
        <v>0</v>
      </c>
      <c r="I295" s="507">
        <f>(DSUM('3_Emissions processos'!$E$13:$K$35,"emissions",'6.1_Resultats Illes Balears'!E$71:E295)/1000)-SUM(I$72:I294)</f>
        <v>0</v>
      </c>
      <c r="J295" s="507"/>
      <c r="K295" s="508">
        <f t="shared" si="6"/>
        <v>0</v>
      </c>
      <c r="L295" s="508"/>
      <c r="M295" s="508"/>
      <c r="N295" s="507">
        <f>((DSUM('4.1_Electricitat Illes Balears'!$E$20:$J$42,"emisiones",'6.1_Resultats Illes Balears'!E$71:E295)+DSUM('4.1_Electricitat Illes Balears'!$E$50:$K$70,"emisiones",'6.1_Resultats Illes Balears'!E$71:E295))/1000)-SUM(N$72:N294)</f>
        <v>0</v>
      </c>
      <c r="O295" s="508"/>
      <c r="P295" s="508">
        <f t="shared" si="7"/>
        <v>0</v>
      </c>
      <c r="Q295" s="508"/>
      <c r="R295" s="508"/>
    </row>
    <row r="296" spans="1:18" x14ac:dyDescent="0.3">
      <c r="A296" s="198"/>
      <c r="E296" s="197" t="str">
        <f>IF(Dades!E886="","",Dades!E886)</f>
        <v/>
      </c>
      <c r="F296" s="396">
        <f>(DSUM('1_Combustibles fòssils'!$E$17:$N$39,"emissions",'6.1_Resultats Illes Balears'!E$71:E296)/1000)-SUM(F$72:F295)</f>
        <v>0</v>
      </c>
      <c r="G296" s="396">
        <f>((DSUM('1_Combustibles fòssils'!$E$47:$U$67,"emissions1",'6.1_Resultats Illes Balears'!E$71:E296)+DSUM('1_Combustibles fòssils'!$E$47:$U$67,"emissions2",'6.1_Resultats Illes Balears'!E$71:E296))/1000)-SUM(G$72:G295)</f>
        <v>0</v>
      </c>
      <c r="H296" s="396">
        <f>(DSUM('2_Fluorats'!$E$11:$P$33,"emissions",'6.1_Resultats Illes Balears'!E$71:E296)/1000)-SUM(H$72:H295)</f>
        <v>0</v>
      </c>
      <c r="I296" s="507">
        <f>(DSUM('3_Emissions processos'!$E$13:$K$35,"emissions",'6.1_Resultats Illes Balears'!E$71:E296)/1000)-SUM(I$72:I295)</f>
        <v>0</v>
      </c>
      <c r="J296" s="507"/>
      <c r="K296" s="508">
        <f t="shared" si="6"/>
        <v>0</v>
      </c>
      <c r="L296" s="508"/>
      <c r="M296" s="508"/>
      <c r="N296" s="507">
        <f>((DSUM('4.1_Electricitat Illes Balears'!$E$20:$J$42,"emisiones",'6.1_Resultats Illes Balears'!E$71:E296)+DSUM('4.1_Electricitat Illes Balears'!$E$50:$K$70,"emisiones",'6.1_Resultats Illes Balears'!E$71:E296))/1000)-SUM(N$72:N295)</f>
        <v>0</v>
      </c>
      <c r="O296" s="508"/>
      <c r="P296" s="508">
        <f t="shared" si="7"/>
        <v>0</v>
      </c>
      <c r="Q296" s="508"/>
      <c r="R296" s="508"/>
    </row>
    <row r="297" spans="1:18" x14ac:dyDescent="0.3">
      <c r="A297" s="198"/>
      <c r="E297" s="197" t="str">
        <f>IF(Dades!E887="","",Dades!E887)</f>
        <v/>
      </c>
      <c r="F297" s="396">
        <f>(DSUM('1_Combustibles fòssils'!$E$17:$N$39,"emissions",'6.1_Resultats Illes Balears'!E$71:E297)/1000)-SUM(F$72:F296)</f>
        <v>0</v>
      </c>
      <c r="G297" s="396">
        <f>((DSUM('1_Combustibles fòssils'!$E$47:$U$67,"emissions1",'6.1_Resultats Illes Balears'!E$71:E297)+DSUM('1_Combustibles fòssils'!$E$47:$U$67,"emissions2",'6.1_Resultats Illes Balears'!E$71:E297))/1000)-SUM(G$72:G296)</f>
        <v>0</v>
      </c>
      <c r="H297" s="396">
        <f>(DSUM('2_Fluorats'!$E$11:$P$33,"emissions",'6.1_Resultats Illes Balears'!E$71:E297)/1000)-SUM(H$72:H296)</f>
        <v>0</v>
      </c>
      <c r="I297" s="507">
        <f>(DSUM('3_Emissions processos'!$E$13:$K$35,"emissions",'6.1_Resultats Illes Balears'!E$71:E297)/1000)-SUM(I$72:I296)</f>
        <v>0</v>
      </c>
      <c r="J297" s="507"/>
      <c r="K297" s="508">
        <f t="shared" si="6"/>
        <v>0</v>
      </c>
      <c r="L297" s="508"/>
      <c r="M297" s="508"/>
      <c r="N297" s="507">
        <f>((DSUM('4.1_Electricitat Illes Balears'!$E$20:$J$42,"emisiones",'6.1_Resultats Illes Balears'!E$71:E297)+DSUM('4.1_Electricitat Illes Balears'!$E$50:$K$70,"emisiones",'6.1_Resultats Illes Balears'!E$71:E297))/1000)-SUM(N$72:N296)</f>
        <v>0</v>
      </c>
      <c r="O297" s="508"/>
      <c r="P297" s="508">
        <f t="shared" si="7"/>
        <v>0</v>
      </c>
      <c r="Q297" s="508"/>
      <c r="R297" s="508"/>
    </row>
    <row r="298" spans="1:18" x14ac:dyDescent="0.3">
      <c r="A298" s="198"/>
      <c r="E298" s="197" t="str">
        <f>IF(Dades!E888="","",Dades!E888)</f>
        <v/>
      </c>
      <c r="F298" s="396">
        <f>(DSUM('1_Combustibles fòssils'!$E$17:$N$39,"emissions",'6.1_Resultats Illes Balears'!E$71:E298)/1000)-SUM(F$72:F297)</f>
        <v>0</v>
      </c>
      <c r="G298" s="396">
        <f>((DSUM('1_Combustibles fòssils'!$E$47:$U$67,"emissions1",'6.1_Resultats Illes Balears'!E$71:E298)+DSUM('1_Combustibles fòssils'!$E$47:$U$67,"emissions2",'6.1_Resultats Illes Balears'!E$71:E298))/1000)-SUM(G$72:G297)</f>
        <v>0</v>
      </c>
      <c r="H298" s="396">
        <f>(DSUM('2_Fluorats'!$E$11:$P$33,"emissions",'6.1_Resultats Illes Balears'!E$71:E298)/1000)-SUM(H$72:H297)</f>
        <v>0</v>
      </c>
      <c r="I298" s="507">
        <f>(DSUM('3_Emissions processos'!$E$13:$K$35,"emissions",'6.1_Resultats Illes Balears'!E$71:E298)/1000)-SUM(I$72:I297)</f>
        <v>0</v>
      </c>
      <c r="J298" s="507"/>
      <c r="K298" s="508">
        <f t="shared" si="6"/>
        <v>0</v>
      </c>
      <c r="L298" s="508"/>
      <c r="M298" s="508"/>
      <c r="N298" s="507">
        <f>((DSUM('4.1_Electricitat Illes Balears'!$E$20:$J$42,"emisiones",'6.1_Resultats Illes Balears'!E$71:E298)+DSUM('4.1_Electricitat Illes Balears'!$E$50:$K$70,"emisiones",'6.1_Resultats Illes Balears'!E$71:E298))/1000)-SUM(N$72:N297)</f>
        <v>0</v>
      </c>
      <c r="O298" s="508"/>
      <c r="P298" s="508">
        <f t="shared" si="7"/>
        <v>0</v>
      </c>
      <c r="Q298" s="508"/>
      <c r="R298" s="508"/>
    </row>
    <row r="299" spans="1:18" x14ac:dyDescent="0.3">
      <c r="A299" s="198"/>
      <c r="E299" s="197" t="str">
        <f>IF(Dades!E889="","",Dades!E889)</f>
        <v/>
      </c>
      <c r="F299" s="396">
        <f>(DSUM('1_Combustibles fòssils'!$E$17:$N$39,"emissions",'6.1_Resultats Illes Balears'!E$71:E299)/1000)-SUM(F$72:F298)</f>
        <v>0</v>
      </c>
      <c r="G299" s="396">
        <f>((DSUM('1_Combustibles fòssils'!$E$47:$U$67,"emissions1",'6.1_Resultats Illes Balears'!E$71:E299)+DSUM('1_Combustibles fòssils'!$E$47:$U$67,"emissions2",'6.1_Resultats Illes Balears'!E$71:E299))/1000)-SUM(G$72:G298)</f>
        <v>0</v>
      </c>
      <c r="H299" s="396">
        <f>(DSUM('2_Fluorats'!$E$11:$P$33,"emissions",'6.1_Resultats Illes Balears'!E$71:E299)/1000)-SUM(H$72:H298)</f>
        <v>0</v>
      </c>
      <c r="I299" s="507">
        <f>(DSUM('3_Emissions processos'!$E$13:$K$35,"emissions",'6.1_Resultats Illes Balears'!E$71:E299)/1000)-SUM(I$72:I298)</f>
        <v>0</v>
      </c>
      <c r="J299" s="507"/>
      <c r="K299" s="508">
        <f t="shared" si="6"/>
        <v>0</v>
      </c>
      <c r="L299" s="508"/>
      <c r="M299" s="508"/>
      <c r="N299" s="507">
        <f>((DSUM('4.1_Electricitat Illes Balears'!$E$20:$J$42,"emisiones",'6.1_Resultats Illes Balears'!E$71:E299)+DSUM('4.1_Electricitat Illes Balears'!$E$50:$K$70,"emisiones",'6.1_Resultats Illes Balears'!E$71:E299))/1000)-SUM(N$72:N298)</f>
        <v>0</v>
      </c>
      <c r="O299" s="508"/>
      <c r="P299" s="508">
        <f t="shared" si="7"/>
        <v>0</v>
      </c>
      <c r="Q299" s="508"/>
      <c r="R299" s="508"/>
    </row>
    <row r="300" spans="1:18" x14ac:dyDescent="0.3">
      <c r="A300" s="198"/>
      <c r="E300" s="197" t="str">
        <f>IF(Dades!E890="","",Dades!E890)</f>
        <v/>
      </c>
      <c r="F300" s="396">
        <f>(DSUM('1_Combustibles fòssils'!$E$17:$N$39,"emissions",'6.1_Resultats Illes Balears'!E$71:E300)/1000)-SUM(F$72:F299)</f>
        <v>0</v>
      </c>
      <c r="G300" s="396">
        <f>((DSUM('1_Combustibles fòssils'!$E$47:$U$67,"emissions1",'6.1_Resultats Illes Balears'!E$71:E300)+DSUM('1_Combustibles fòssils'!$E$47:$U$67,"emissions2",'6.1_Resultats Illes Balears'!E$71:E300))/1000)-SUM(G$72:G299)</f>
        <v>0</v>
      </c>
      <c r="H300" s="396">
        <f>(DSUM('2_Fluorats'!$E$11:$P$33,"emissions",'6.1_Resultats Illes Balears'!E$71:E300)/1000)-SUM(H$72:H299)</f>
        <v>0</v>
      </c>
      <c r="I300" s="507">
        <f>(DSUM('3_Emissions processos'!$E$13:$K$35,"emissions",'6.1_Resultats Illes Balears'!E$71:E300)/1000)-SUM(I$72:I299)</f>
        <v>0</v>
      </c>
      <c r="J300" s="507"/>
      <c r="K300" s="508">
        <f t="shared" si="6"/>
        <v>0</v>
      </c>
      <c r="L300" s="508"/>
      <c r="M300" s="508"/>
      <c r="N300" s="507">
        <f>((DSUM('4.1_Electricitat Illes Balears'!$E$20:$J$42,"emisiones",'6.1_Resultats Illes Balears'!E$71:E300)+DSUM('4.1_Electricitat Illes Balears'!$E$50:$K$70,"emisiones",'6.1_Resultats Illes Balears'!E$71:E300))/1000)-SUM(N$72:N299)</f>
        <v>0</v>
      </c>
      <c r="O300" s="508"/>
      <c r="P300" s="508">
        <f t="shared" si="7"/>
        <v>0</v>
      </c>
      <c r="Q300" s="508"/>
      <c r="R300" s="508"/>
    </row>
    <row r="301" spans="1:18" x14ac:dyDescent="0.3">
      <c r="A301" s="198"/>
      <c r="E301" s="197" t="str">
        <f>IF(Dades!E891="","",Dades!E891)</f>
        <v/>
      </c>
      <c r="F301" s="396">
        <f>(DSUM('1_Combustibles fòssils'!$E$17:$N$39,"emissions",'6.1_Resultats Illes Balears'!E$71:E301)/1000)-SUM(F$72:F300)</f>
        <v>0</v>
      </c>
      <c r="G301" s="396">
        <f>((DSUM('1_Combustibles fòssils'!$E$47:$U$67,"emissions1",'6.1_Resultats Illes Balears'!E$71:E301)+DSUM('1_Combustibles fòssils'!$E$47:$U$67,"emissions2",'6.1_Resultats Illes Balears'!E$71:E301))/1000)-SUM(G$72:G300)</f>
        <v>0</v>
      </c>
      <c r="H301" s="396">
        <f>(DSUM('2_Fluorats'!$E$11:$P$33,"emissions",'6.1_Resultats Illes Balears'!E$71:E301)/1000)-SUM(H$72:H300)</f>
        <v>0</v>
      </c>
      <c r="I301" s="507">
        <f>(DSUM('3_Emissions processos'!$E$13:$K$35,"emissions",'6.1_Resultats Illes Balears'!E$71:E301)/1000)-SUM(I$72:I300)</f>
        <v>0</v>
      </c>
      <c r="J301" s="507"/>
      <c r="K301" s="508">
        <f t="shared" si="6"/>
        <v>0</v>
      </c>
      <c r="L301" s="508"/>
      <c r="M301" s="508"/>
      <c r="N301" s="507">
        <f>((DSUM('4.1_Electricitat Illes Balears'!$E$20:$J$42,"emisiones",'6.1_Resultats Illes Balears'!E$71:E301)+DSUM('4.1_Electricitat Illes Balears'!$E$50:$K$70,"emisiones",'6.1_Resultats Illes Balears'!E$71:E301))/1000)-SUM(N$72:N300)</f>
        <v>0</v>
      </c>
      <c r="O301" s="508"/>
      <c r="P301" s="508">
        <f t="shared" si="7"/>
        <v>0</v>
      </c>
      <c r="Q301" s="508"/>
      <c r="R301" s="508"/>
    </row>
    <row r="302" spans="1:18" x14ac:dyDescent="0.3">
      <c r="A302" s="198"/>
      <c r="E302" s="197" t="str">
        <f>IF(Dades!E892="","",Dades!E892)</f>
        <v/>
      </c>
      <c r="F302" s="396">
        <f>(DSUM('1_Combustibles fòssils'!$E$17:$N$39,"emissions",'6.1_Resultats Illes Balears'!E$71:E302)/1000)-SUM(F$72:F301)</f>
        <v>0</v>
      </c>
      <c r="G302" s="396">
        <f>((DSUM('1_Combustibles fòssils'!$E$47:$U$67,"emissions1",'6.1_Resultats Illes Balears'!E$71:E302)+DSUM('1_Combustibles fòssils'!$E$47:$U$67,"emissions2",'6.1_Resultats Illes Balears'!E$71:E302))/1000)-SUM(G$72:G301)</f>
        <v>0</v>
      </c>
      <c r="H302" s="396">
        <f>(DSUM('2_Fluorats'!$E$11:$P$33,"emissions",'6.1_Resultats Illes Balears'!E$71:E302)/1000)-SUM(H$72:H301)</f>
        <v>0</v>
      </c>
      <c r="I302" s="507">
        <f>(DSUM('3_Emissions processos'!$E$13:$K$35,"emissions",'6.1_Resultats Illes Balears'!E$71:E302)/1000)-SUM(I$72:I301)</f>
        <v>0</v>
      </c>
      <c r="J302" s="507"/>
      <c r="K302" s="508">
        <f t="shared" si="6"/>
        <v>0</v>
      </c>
      <c r="L302" s="508"/>
      <c r="M302" s="508"/>
      <c r="N302" s="507">
        <f>((DSUM('4.1_Electricitat Illes Balears'!$E$20:$J$42,"emisiones",'6.1_Resultats Illes Balears'!E$71:E302)+DSUM('4.1_Electricitat Illes Balears'!$E$50:$K$70,"emisiones",'6.1_Resultats Illes Balears'!E$71:E302))/1000)-SUM(N$72:N301)</f>
        <v>0</v>
      </c>
      <c r="O302" s="508"/>
      <c r="P302" s="508">
        <f t="shared" si="7"/>
        <v>0</v>
      </c>
      <c r="Q302" s="508"/>
      <c r="R302" s="508"/>
    </row>
    <row r="303" spans="1:18" x14ac:dyDescent="0.3">
      <c r="A303" s="198"/>
      <c r="E303" s="197" t="str">
        <f>IF(Dades!E893="","",Dades!E893)</f>
        <v/>
      </c>
      <c r="F303" s="396">
        <f>(DSUM('1_Combustibles fòssils'!$E$17:$N$39,"emissions",'6.1_Resultats Illes Balears'!E$71:E303)/1000)-SUM(F$72:F302)</f>
        <v>0</v>
      </c>
      <c r="G303" s="396">
        <f>((DSUM('1_Combustibles fòssils'!$E$47:$U$67,"emissions1",'6.1_Resultats Illes Balears'!E$71:E303)+DSUM('1_Combustibles fòssils'!$E$47:$U$67,"emissions2",'6.1_Resultats Illes Balears'!E$71:E303))/1000)-SUM(G$72:G302)</f>
        <v>0</v>
      </c>
      <c r="H303" s="396">
        <f>(DSUM('2_Fluorats'!$E$11:$P$33,"emissions",'6.1_Resultats Illes Balears'!E$71:E303)/1000)-SUM(H$72:H302)</f>
        <v>0</v>
      </c>
      <c r="I303" s="507">
        <f>(DSUM('3_Emissions processos'!$E$13:$K$35,"emissions",'6.1_Resultats Illes Balears'!E$71:E303)/1000)-SUM(I$72:I302)</f>
        <v>0</v>
      </c>
      <c r="J303" s="507"/>
      <c r="K303" s="508">
        <f t="shared" si="6"/>
        <v>0</v>
      </c>
      <c r="L303" s="508"/>
      <c r="M303" s="508"/>
      <c r="N303" s="507">
        <f>((DSUM('4.1_Electricitat Illes Balears'!$E$20:$J$42,"emisiones",'6.1_Resultats Illes Balears'!E$71:E303)+DSUM('4.1_Electricitat Illes Balears'!$E$50:$K$70,"emisiones",'6.1_Resultats Illes Balears'!E$71:E303))/1000)-SUM(N$72:N302)</f>
        <v>0</v>
      </c>
      <c r="O303" s="508"/>
      <c r="P303" s="508">
        <f t="shared" si="7"/>
        <v>0</v>
      </c>
      <c r="Q303" s="508"/>
      <c r="R303" s="508"/>
    </row>
    <row r="304" spans="1:18" x14ac:dyDescent="0.3">
      <c r="A304" s="198"/>
      <c r="E304" s="197" t="str">
        <f>IF(Dades!E894="","",Dades!E894)</f>
        <v/>
      </c>
      <c r="F304" s="396">
        <f>(DSUM('1_Combustibles fòssils'!$E$17:$N$39,"emissions",'6.1_Resultats Illes Balears'!E$71:E304)/1000)-SUM(F$72:F303)</f>
        <v>0</v>
      </c>
      <c r="G304" s="396">
        <f>((DSUM('1_Combustibles fòssils'!$E$47:$U$67,"emissions1",'6.1_Resultats Illes Balears'!E$71:E304)+DSUM('1_Combustibles fòssils'!$E$47:$U$67,"emissions2",'6.1_Resultats Illes Balears'!E$71:E304))/1000)-SUM(G$72:G303)</f>
        <v>0</v>
      </c>
      <c r="H304" s="396">
        <f>(DSUM('2_Fluorats'!$E$11:$P$33,"emissions",'6.1_Resultats Illes Balears'!E$71:E304)/1000)-SUM(H$72:H303)</f>
        <v>0</v>
      </c>
      <c r="I304" s="507">
        <f>(DSUM('3_Emissions processos'!$E$13:$K$35,"emissions",'6.1_Resultats Illes Balears'!E$71:E304)/1000)-SUM(I$72:I303)</f>
        <v>0</v>
      </c>
      <c r="J304" s="507"/>
      <c r="K304" s="508">
        <f t="shared" si="6"/>
        <v>0</v>
      </c>
      <c r="L304" s="508"/>
      <c r="M304" s="508"/>
      <c r="N304" s="507">
        <f>((DSUM('4.1_Electricitat Illes Balears'!$E$20:$J$42,"emisiones",'6.1_Resultats Illes Balears'!E$71:E304)+DSUM('4.1_Electricitat Illes Balears'!$E$50:$K$70,"emisiones",'6.1_Resultats Illes Balears'!E$71:E304))/1000)-SUM(N$72:N303)</f>
        <v>0</v>
      </c>
      <c r="O304" s="508"/>
      <c r="P304" s="508">
        <f t="shared" si="7"/>
        <v>0</v>
      </c>
      <c r="Q304" s="508"/>
      <c r="R304" s="508"/>
    </row>
    <row r="305" spans="1:18" x14ac:dyDescent="0.3">
      <c r="A305" s="198"/>
      <c r="E305" s="197" t="str">
        <f>IF(Dades!E895="","",Dades!E895)</f>
        <v/>
      </c>
      <c r="F305" s="396">
        <f>(DSUM('1_Combustibles fòssils'!$E$17:$N$39,"emissions",'6.1_Resultats Illes Balears'!E$71:E305)/1000)-SUM(F$72:F304)</f>
        <v>0</v>
      </c>
      <c r="G305" s="396">
        <f>((DSUM('1_Combustibles fòssils'!$E$47:$U$67,"emissions1",'6.1_Resultats Illes Balears'!E$71:E305)+DSUM('1_Combustibles fòssils'!$E$47:$U$67,"emissions2",'6.1_Resultats Illes Balears'!E$71:E305))/1000)-SUM(G$72:G304)</f>
        <v>0</v>
      </c>
      <c r="H305" s="396">
        <f>(DSUM('2_Fluorats'!$E$11:$P$33,"emissions",'6.1_Resultats Illes Balears'!E$71:E305)/1000)-SUM(H$72:H304)</f>
        <v>0</v>
      </c>
      <c r="I305" s="507">
        <f>(DSUM('3_Emissions processos'!$E$13:$K$35,"emissions",'6.1_Resultats Illes Balears'!E$71:E305)/1000)-SUM(I$72:I304)</f>
        <v>0</v>
      </c>
      <c r="J305" s="507"/>
      <c r="K305" s="508">
        <f t="shared" si="6"/>
        <v>0</v>
      </c>
      <c r="L305" s="508"/>
      <c r="M305" s="508"/>
      <c r="N305" s="507">
        <f>((DSUM('4.1_Electricitat Illes Balears'!$E$20:$J$42,"emisiones",'6.1_Resultats Illes Balears'!E$71:E305)+DSUM('4.1_Electricitat Illes Balears'!$E$50:$K$70,"emisiones",'6.1_Resultats Illes Balears'!E$71:E305))/1000)-SUM(N$72:N304)</f>
        <v>0</v>
      </c>
      <c r="O305" s="508"/>
      <c r="P305" s="508">
        <f t="shared" si="7"/>
        <v>0</v>
      </c>
      <c r="Q305" s="508"/>
      <c r="R305" s="508"/>
    </row>
    <row r="306" spans="1:18" x14ac:dyDescent="0.3">
      <c r="A306" s="198"/>
      <c r="E306" s="197" t="str">
        <f>IF(Dades!E896="","",Dades!E896)</f>
        <v/>
      </c>
      <c r="F306" s="396">
        <f>(DSUM('1_Combustibles fòssils'!$E$17:$N$39,"emissions",'6.1_Resultats Illes Balears'!E$71:E306)/1000)-SUM(F$72:F305)</f>
        <v>0</v>
      </c>
      <c r="G306" s="396">
        <f>((DSUM('1_Combustibles fòssils'!$E$47:$U$67,"emissions1",'6.1_Resultats Illes Balears'!E$71:E306)+DSUM('1_Combustibles fòssils'!$E$47:$U$67,"emissions2",'6.1_Resultats Illes Balears'!E$71:E306))/1000)-SUM(G$72:G305)</f>
        <v>0</v>
      </c>
      <c r="H306" s="396">
        <f>(DSUM('2_Fluorats'!$E$11:$P$33,"emissions",'6.1_Resultats Illes Balears'!E$71:E306)/1000)-SUM(H$72:H305)</f>
        <v>0</v>
      </c>
      <c r="I306" s="507">
        <f>(DSUM('3_Emissions processos'!$E$13:$K$35,"emissions",'6.1_Resultats Illes Balears'!E$71:E306)/1000)-SUM(I$72:I305)</f>
        <v>0</v>
      </c>
      <c r="J306" s="507"/>
      <c r="K306" s="508">
        <f t="shared" si="6"/>
        <v>0</v>
      </c>
      <c r="L306" s="508"/>
      <c r="M306" s="508"/>
      <c r="N306" s="507">
        <f>((DSUM('4.1_Electricitat Illes Balears'!$E$20:$J$42,"emisiones",'6.1_Resultats Illes Balears'!E$71:E306)+DSUM('4.1_Electricitat Illes Balears'!$E$50:$K$70,"emisiones",'6.1_Resultats Illes Balears'!E$71:E306))/1000)-SUM(N$72:N305)</f>
        <v>0</v>
      </c>
      <c r="O306" s="508"/>
      <c r="P306" s="508">
        <f t="shared" si="7"/>
        <v>0</v>
      </c>
      <c r="Q306" s="508"/>
      <c r="R306" s="508"/>
    </row>
    <row r="307" spans="1:18" x14ac:dyDescent="0.3">
      <c r="A307" s="198"/>
      <c r="E307" s="197" t="str">
        <f>IF(Dades!E897="","",Dades!E897)</f>
        <v/>
      </c>
      <c r="F307" s="396">
        <f>(DSUM('1_Combustibles fòssils'!$E$17:$N$39,"emissions",'6.1_Resultats Illes Balears'!E$71:E307)/1000)-SUM(F$72:F306)</f>
        <v>0</v>
      </c>
      <c r="G307" s="396">
        <f>((DSUM('1_Combustibles fòssils'!$E$47:$U$67,"emissions1",'6.1_Resultats Illes Balears'!E$71:E307)+DSUM('1_Combustibles fòssils'!$E$47:$U$67,"emissions2",'6.1_Resultats Illes Balears'!E$71:E307))/1000)-SUM(G$72:G306)</f>
        <v>0</v>
      </c>
      <c r="H307" s="396">
        <f>(DSUM('2_Fluorats'!$E$11:$P$33,"emissions",'6.1_Resultats Illes Balears'!E$71:E307)/1000)-SUM(H$72:H306)</f>
        <v>0</v>
      </c>
      <c r="I307" s="507">
        <f>(DSUM('3_Emissions processos'!$E$13:$K$35,"emissions",'6.1_Resultats Illes Balears'!E$71:E307)/1000)-SUM(I$72:I306)</f>
        <v>0</v>
      </c>
      <c r="J307" s="507"/>
      <c r="K307" s="508">
        <f t="shared" si="6"/>
        <v>0</v>
      </c>
      <c r="L307" s="508"/>
      <c r="M307" s="508"/>
      <c r="N307" s="507">
        <f>((DSUM('4.1_Electricitat Illes Balears'!$E$20:$J$42,"emisiones",'6.1_Resultats Illes Balears'!E$71:E307)+DSUM('4.1_Electricitat Illes Balears'!$E$50:$K$70,"emisiones",'6.1_Resultats Illes Balears'!E$71:E307))/1000)-SUM(N$72:N306)</f>
        <v>0</v>
      </c>
      <c r="O307" s="508"/>
      <c r="P307" s="508">
        <f t="shared" si="7"/>
        <v>0</v>
      </c>
      <c r="Q307" s="508"/>
      <c r="R307" s="508"/>
    </row>
    <row r="308" spans="1:18" x14ac:dyDescent="0.3">
      <c r="A308" s="198"/>
      <c r="E308" s="197" t="str">
        <f>IF(Dades!E898="","",Dades!E898)</f>
        <v/>
      </c>
      <c r="F308" s="396">
        <f>(DSUM('1_Combustibles fòssils'!$E$17:$N$39,"emissions",'6.1_Resultats Illes Balears'!E$71:E308)/1000)-SUM(F$72:F307)</f>
        <v>0</v>
      </c>
      <c r="G308" s="396">
        <f>((DSUM('1_Combustibles fòssils'!$E$47:$U$67,"emissions1",'6.1_Resultats Illes Balears'!E$71:E308)+DSUM('1_Combustibles fòssils'!$E$47:$U$67,"emissions2",'6.1_Resultats Illes Balears'!E$71:E308))/1000)-SUM(G$72:G307)</f>
        <v>0</v>
      </c>
      <c r="H308" s="396">
        <f>(DSUM('2_Fluorats'!$E$11:$P$33,"emissions",'6.1_Resultats Illes Balears'!E$71:E308)/1000)-SUM(H$72:H307)</f>
        <v>0</v>
      </c>
      <c r="I308" s="507">
        <f>(DSUM('3_Emissions processos'!$E$13:$K$35,"emissions",'6.1_Resultats Illes Balears'!E$71:E308)/1000)-SUM(I$72:I307)</f>
        <v>0</v>
      </c>
      <c r="J308" s="507"/>
      <c r="K308" s="508">
        <f t="shared" si="6"/>
        <v>0</v>
      </c>
      <c r="L308" s="508"/>
      <c r="M308" s="508"/>
      <c r="N308" s="507">
        <f>((DSUM('4.1_Electricitat Illes Balears'!$E$20:$J$42,"emisiones",'6.1_Resultats Illes Balears'!E$71:E308)+DSUM('4.1_Electricitat Illes Balears'!$E$50:$K$70,"emisiones",'6.1_Resultats Illes Balears'!E$71:E308))/1000)-SUM(N$72:N307)</f>
        <v>0</v>
      </c>
      <c r="O308" s="508"/>
      <c r="P308" s="508">
        <f t="shared" si="7"/>
        <v>0</v>
      </c>
      <c r="Q308" s="508"/>
      <c r="R308" s="508"/>
    </row>
    <row r="309" spans="1:18" x14ac:dyDescent="0.3">
      <c r="A309" s="198"/>
      <c r="E309" s="197" t="str">
        <f>IF(Dades!E899="","",Dades!E899)</f>
        <v/>
      </c>
      <c r="F309" s="396">
        <f>(DSUM('1_Combustibles fòssils'!$E$17:$N$39,"emissions",'6.1_Resultats Illes Balears'!E$71:E309)/1000)-SUM(F$72:F308)</f>
        <v>0</v>
      </c>
      <c r="G309" s="396">
        <f>((DSUM('1_Combustibles fòssils'!$E$47:$U$67,"emissions1",'6.1_Resultats Illes Balears'!E$71:E309)+DSUM('1_Combustibles fòssils'!$E$47:$U$67,"emissions2",'6.1_Resultats Illes Balears'!E$71:E309))/1000)-SUM(G$72:G308)</f>
        <v>0</v>
      </c>
      <c r="H309" s="396">
        <f>(DSUM('2_Fluorats'!$E$11:$P$33,"emissions",'6.1_Resultats Illes Balears'!E$71:E309)/1000)-SUM(H$72:H308)</f>
        <v>0</v>
      </c>
      <c r="I309" s="507">
        <f>(DSUM('3_Emissions processos'!$E$13:$K$35,"emissions",'6.1_Resultats Illes Balears'!E$71:E309)/1000)-SUM(I$72:I308)</f>
        <v>0</v>
      </c>
      <c r="J309" s="507"/>
      <c r="K309" s="508">
        <f t="shared" si="6"/>
        <v>0</v>
      </c>
      <c r="L309" s="508"/>
      <c r="M309" s="508"/>
      <c r="N309" s="507">
        <f>((DSUM('4.1_Electricitat Illes Balears'!$E$20:$J$42,"emisiones",'6.1_Resultats Illes Balears'!E$71:E309)+DSUM('4.1_Electricitat Illes Balears'!$E$50:$K$70,"emisiones",'6.1_Resultats Illes Balears'!E$71:E309))/1000)-SUM(N$72:N308)</f>
        <v>0</v>
      </c>
      <c r="O309" s="508"/>
      <c r="P309" s="508">
        <f t="shared" si="7"/>
        <v>0</v>
      </c>
      <c r="Q309" s="508"/>
      <c r="R309" s="508"/>
    </row>
    <row r="310" spans="1:18" x14ac:dyDescent="0.3">
      <c r="A310" s="198"/>
      <c r="E310" s="197" t="str">
        <f>IF(Dades!E900="","",Dades!E900)</f>
        <v/>
      </c>
      <c r="F310" s="396">
        <f>(DSUM('1_Combustibles fòssils'!$E$17:$N$39,"emissions",'6.1_Resultats Illes Balears'!E$71:E310)/1000)-SUM(F$72:F309)</f>
        <v>0</v>
      </c>
      <c r="G310" s="396">
        <f>((DSUM('1_Combustibles fòssils'!$E$47:$U$67,"emissions1",'6.1_Resultats Illes Balears'!E$71:E310)+DSUM('1_Combustibles fòssils'!$E$47:$U$67,"emissions2",'6.1_Resultats Illes Balears'!E$71:E310))/1000)-SUM(G$72:G309)</f>
        <v>0</v>
      </c>
      <c r="H310" s="396">
        <f>(DSUM('2_Fluorats'!$E$11:$P$33,"emissions",'6.1_Resultats Illes Balears'!E$71:E310)/1000)-SUM(H$72:H309)</f>
        <v>0</v>
      </c>
      <c r="I310" s="507">
        <f>(DSUM('3_Emissions processos'!$E$13:$K$35,"emissions",'6.1_Resultats Illes Balears'!E$71:E310)/1000)-SUM(I$72:I309)</f>
        <v>0</v>
      </c>
      <c r="J310" s="507"/>
      <c r="K310" s="508">
        <f t="shared" si="6"/>
        <v>0</v>
      </c>
      <c r="L310" s="508"/>
      <c r="M310" s="508"/>
      <c r="N310" s="507">
        <f>((DSUM('4.1_Electricitat Illes Balears'!$E$20:$J$42,"emisiones",'6.1_Resultats Illes Balears'!E$71:E310)+DSUM('4.1_Electricitat Illes Balears'!$E$50:$K$70,"emisiones",'6.1_Resultats Illes Balears'!E$71:E310))/1000)-SUM(N$72:N309)</f>
        <v>0</v>
      </c>
      <c r="O310" s="508"/>
      <c r="P310" s="508">
        <f t="shared" si="7"/>
        <v>0</v>
      </c>
      <c r="Q310" s="508"/>
      <c r="R310" s="508"/>
    </row>
    <row r="311" spans="1:18" x14ac:dyDescent="0.3">
      <c r="A311" s="198"/>
      <c r="E311" s="197" t="str">
        <f>IF(Dades!E901="","",Dades!E901)</f>
        <v/>
      </c>
      <c r="F311" s="396">
        <f>(DSUM('1_Combustibles fòssils'!$E$17:$N$39,"emissions",'6.1_Resultats Illes Balears'!E$71:E311)/1000)-SUM(F$72:F310)</f>
        <v>0</v>
      </c>
      <c r="G311" s="396">
        <f>((DSUM('1_Combustibles fòssils'!$E$47:$U$67,"emissions1",'6.1_Resultats Illes Balears'!E$71:E311)+DSUM('1_Combustibles fòssils'!$E$47:$U$67,"emissions2",'6.1_Resultats Illes Balears'!E$71:E311))/1000)-SUM(G$72:G310)</f>
        <v>0</v>
      </c>
      <c r="H311" s="396">
        <f>(DSUM('2_Fluorats'!$E$11:$P$33,"emissions",'6.1_Resultats Illes Balears'!E$71:E311)/1000)-SUM(H$72:H310)</f>
        <v>0</v>
      </c>
      <c r="I311" s="507">
        <f>(DSUM('3_Emissions processos'!$E$13:$K$35,"emissions",'6.1_Resultats Illes Balears'!E$71:E311)/1000)-SUM(I$72:I310)</f>
        <v>0</v>
      </c>
      <c r="J311" s="507"/>
      <c r="K311" s="508">
        <f t="shared" si="6"/>
        <v>0</v>
      </c>
      <c r="L311" s="508"/>
      <c r="M311" s="508"/>
      <c r="N311" s="507">
        <f>((DSUM('4.1_Electricitat Illes Balears'!$E$20:$J$42,"emisiones",'6.1_Resultats Illes Balears'!E$71:E311)+DSUM('4.1_Electricitat Illes Balears'!$E$50:$K$70,"emisiones",'6.1_Resultats Illes Balears'!E$71:E311))/1000)-SUM(N$72:N310)</f>
        <v>0</v>
      </c>
      <c r="O311" s="508"/>
      <c r="P311" s="508">
        <f t="shared" si="7"/>
        <v>0</v>
      </c>
      <c r="Q311" s="508"/>
      <c r="R311" s="508"/>
    </row>
    <row r="312" spans="1:18" x14ac:dyDescent="0.3">
      <c r="A312" s="198"/>
      <c r="E312" s="197" t="str">
        <f>IF(Dades!E902="","",Dades!E902)</f>
        <v/>
      </c>
      <c r="F312" s="396">
        <f>(DSUM('1_Combustibles fòssils'!$E$17:$N$39,"emissions",'6.1_Resultats Illes Balears'!E$71:E312)/1000)-SUM(F$72:F311)</f>
        <v>0</v>
      </c>
      <c r="G312" s="396">
        <f>((DSUM('1_Combustibles fòssils'!$E$47:$U$67,"emissions1",'6.1_Resultats Illes Balears'!E$71:E312)+DSUM('1_Combustibles fòssils'!$E$47:$U$67,"emissions2",'6.1_Resultats Illes Balears'!E$71:E312))/1000)-SUM(G$72:G311)</f>
        <v>0</v>
      </c>
      <c r="H312" s="396">
        <f>(DSUM('2_Fluorats'!$E$11:$P$33,"emissions",'6.1_Resultats Illes Balears'!E$71:E312)/1000)-SUM(H$72:H311)</f>
        <v>0</v>
      </c>
      <c r="I312" s="507">
        <f>(DSUM('3_Emissions processos'!$E$13:$K$35,"emissions",'6.1_Resultats Illes Balears'!E$71:E312)/1000)-SUM(I$72:I311)</f>
        <v>0</v>
      </c>
      <c r="J312" s="507"/>
      <c r="K312" s="508">
        <f t="shared" si="6"/>
        <v>0</v>
      </c>
      <c r="L312" s="508"/>
      <c r="M312" s="508"/>
      <c r="N312" s="507">
        <f>((DSUM('4.1_Electricitat Illes Balears'!$E$20:$J$42,"emisiones",'6.1_Resultats Illes Balears'!E$71:E312)+DSUM('4.1_Electricitat Illes Balears'!$E$50:$K$70,"emisiones",'6.1_Resultats Illes Balears'!E$71:E312))/1000)-SUM(N$72:N311)</f>
        <v>0</v>
      </c>
      <c r="O312" s="508"/>
      <c r="P312" s="508">
        <f t="shared" si="7"/>
        <v>0</v>
      </c>
      <c r="Q312" s="508"/>
      <c r="R312" s="508"/>
    </row>
    <row r="313" spans="1:18" x14ac:dyDescent="0.3">
      <c r="A313" s="198"/>
      <c r="E313" s="197" t="str">
        <f>IF(Dades!E903="","",Dades!E903)</f>
        <v/>
      </c>
      <c r="F313" s="396">
        <f>(DSUM('1_Combustibles fòssils'!$E$17:$N$39,"emissions",'6.1_Resultats Illes Balears'!E$71:E313)/1000)-SUM(F$72:F312)</f>
        <v>0</v>
      </c>
      <c r="G313" s="396">
        <f>((DSUM('1_Combustibles fòssils'!$E$47:$U$67,"emissions1",'6.1_Resultats Illes Balears'!E$71:E313)+DSUM('1_Combustibles fòssils'!$E$47:$U$67,"emissions2",'6.1_Resultats Illes Balears'!E$71:E313))/1000)-SUM(G$72:G312)</f>
        <v>0</v>
      </c>
      <c r="H313" s="396">
        <f>(DSUM('2_Fluorats'!$E$11:$P$33,"emissions",'6.1_Resultats Illes Balears'!E$71:E313)/1000)-SUM(H$72:H312)</f>
        <v>0</v>
      </c>
      <c r="I313" s="507">
        <f>(DSUM('3_Emissions processos'!$E$13:$K$35,"emissions",'6.1_Resultats Illes Balears'!E$71:E313)/1000)-SUM(I$72:I312)</f>
        <v>0</v>
      </c>
      <c r="J313" s="507"/>
      <c r="K313" s="508">
        <f t="shared" si="6"/>
        <v>0</v>
      </c>
      <c r="L313" s="508"/>
      <c r="M313" s="508"/>
      <c r="N313" s="507">
        <f>((DSUM('4.1_Electricitat Illes Balears'!$E$20:$J$42,"emisiones",'6.1_Resultats Illes Balears'!E$71:E313)+DSUM('4.1_Electricitat Illes Balears'!$E$50:$K$70,"emisiones",'6.1_Resultats Illes Balears'!E$71:E313))/1000)-SUM(N$72:N312)</f>
        <v>0</v>
      </c>
      <c r="O313" s="508"/>
      <c r="P313" s="508">
        <f t="shared" si="7"/>
        <v>0</v>
      </c>
      <c r="Q313" s="508"/>
      <c r="R313" s="508"/>
    </row>
    <row r="314" spans="1:18" x14ac:dyDescent="0.3">
      <c r="A314" s="198"/>
      <c r="E314" s="197" t="str">
        <f>IF(Dades!E904="","",Dades!E904)</f>
        <v/>
      </c>
      <c r="F314" s="396">
        <f>(DSUM('1_Combustibles fòssils'!$E$17:$N$39,"emissions",'6.1_Resultats Illes Balears'!E$71:E314)/1000)-SUM(F$72:F313)</f>
        <v>0</v>
      </c>
      <c r="G314" s="396">
        <f>((DSUM('1_Combustibles fòssils'!$E$47:$U$67,"emissions1",'6.1_Resultats Illes Balears'!E$71:E314)+DSUM('1_Combustibles fòssils'!$E$47:$U$67,"emissions2",'6.1_Resultats Illes Balears'!E$71:E314))/1000)-SUM(G$72:G313)</f>
        <v>0</v>
      </c>
      <c r="H314" s="396">
        <f>(DSUM('2_Fluorats'!$E$11:$P$33,"emissions",'6.1_Resultats Illes Balears'!E$71:E314)/1000)-SUM(H$72:H313)</f>
        <v>0</v>
      </c>
      <c r="I314" s="507">
        <f>(DSUM('3_Emissions processos'!$E$13:$K$35,"emissions",'6.1_Resultats Illes Balears'!E$71:E314)/1000)-SUM(I$72:I313)</f>
        <v>0</v>
      </c>
      <c r="J314" s="507"/>
      <c r="K314" s="508">
        <f t="shared" si="6"/>
        <v>0</v>
      </c>
      <c r="L314" s="508"/>
      <c r="M314" s="508"/>
      <c r="N314" s="507">
        <f>((DSUM('4.1_Electricitat Illes Balears'!$E$20:$J$42,"emisiones",'6.1_Resultats Illes Balears'!E$71:E314)+DSUM('4.1_Electricitat Illes Balears'!$E$50:$K$70,"emisiones",'6.1_Resultats Illes Balears'!E$71:E314))/1000)-SUM(N$72:N313)</f>
        <v>0</v>
      </c>
      <c r="O314" s="508"/>
      <c r="P314" s="508">
        <f t="shared" si="7"/>
        <v>0</v>
      </c>
      <c r="Q314" s="508"/>
      <c r="R314" s="508"/>
    </row>
    <row r="315" spans="1:18" x14ac:dyDescent="0.3">
      <c r="A315" s="198"/>
      <c r="E315" s="197" t="str">
        <f>IF(Dades!E905="","",Dades!E905)</f>
        <v/>
      </c>
      <c r="F315" s="396">
        <f>(DSUM('1_Combustibles fòssils'!$E$17:$N$39,"emissions",'6.1_Resultats Illes Balears'!E$71:E315)/1000)-SUM(F$72:F314)</f>
        <v>0</v>
      </c>
      <c r="G315" s="396">
        <f>((DSUM('1_Combustibles fòssils'!$E$47:$U$67,"emissions1",'6.1_Resultats Illes Balears'!E$71:E315)+DSUM('1_Combustibles fòssils'!$E$47:$U$67,"emissions2",'6.1_Resultats Illes Balears'!E$71:E315))/1000)-SUM(G$72:G314)</f>
        <v>0</v>
      </c>
      <c r="H315" s="396">
        <f>(DSUM('2_Fluorats'!$E$11:$P$33,"emissions",'6.1_Resultats Illes Balears'!E$71:E315)/1000)-SUM(H$72:H314)</f>
        <v>0</v>
      </c>
      <c r="I315" s="507">
        <f>(DSUM('3_Emissions processos'!$E$13:$K$35,"emissions",'6.1_Resultats Illes Balears'!E$71:E315)/1000)-SUM(I$72:I314)</f>
        <v>0</v>
      </c>
      <c r="J315" s="507"/>
      <c r="K315" s="508">
        <f t="shared" si="6"/>
        <v>0</v>
      </c>
      <c r="L315" s="508"/>
      <c r="M315" s="508"/>
      <c r="N315" s="507">
        <f>((DSUM('4.1_Electricitat Illes Balears'!$E$20:$J$42,"emisiones",'6.1_Resultats Illes Balears'!E$71:E315)+DSUM('4.1_Electricitat Illes Balears'!$E$50:$K$70,"emisiones",'6.1_Resultats Illes Balears'!E$71:E315))/1000)-SUM(N$72:N314)</f>
        <v>0</v>
      </c>
      <c r="O315" s="508"/>
      <c r="P315" s="508">
        <f t="shared" si="7"/>
        <v>0</v>
      </c>
      <c r="Q315" s="508"/>
      <c r="R315" s="508"/>
    </row>
    <row r="316" spans="1:18" x14ac:dyDescent="0.3">
      <c r="A316" s="198"/>
      <c r="E316" s="197" t="str">
        <f>IF(Dades!E906="","",Dades!E906)</f>
        <v/>
      </c>
      <c r="F316" s="396">
        <f>(DSUM('1_Combustibles fòssils'!$E$17:$N$39,"emissions",'6.1_Resultats Illes Balears'!E$71:E316)/1000)-SUM(F$72:F315)</f>
        <v>0</v>
      </c>
      <c r="G316" s="396">
        <f>((DSUM('1_Combustibles fòssils'!$E$47:$U$67,"emissions1",'6.1_Resultats Illes Balears'!E$71:E316)+DSUM('1_Combustibles fòssils'!$E$47:$U$67,"emissions2",'6.1_Resultats Illes Balears'!E$71:E316))/1000)-SUM(G$72:G315)</f>
        <v>0</v>
      </c>
      <c r="H316" s="396">
        <f>(DSUM('2_Fluorats'!$E$11:$P$33,"emissions",'6.1_Resultats Illes Balears'!E$71:E316)/1000)-SUM(H$72:H315)</f>
        <v>0</v>
      </c>
      <c r="I316" s="507">
        <f>(DSUM('3_Emissions processos'!$E$13:$K$35,"emissions",'6.1_Resultats Illes Balears'!E$71:E316)/1000)-SUM(I$72:I315)</f>
        <v>0</v>
      </c>
      <c r="J316" s="507"/>
      <c r="K316" s="508">
        <f t="shared" si="6"/>
        <v>0</v>
      </c>
      <c r="L316" s="508"/>
      <c r="M316" s="508"/>
      <c r="N316" s="507">
        <f>((DSUM('4.1_Electricitat Illes Balears'!$E$20:$J$42,"emisiones",'6.1_Resultats Illes Balears'!E$71:E316)+DSUM('4.1_Electricitat Illes Balears'!$E$50:$K$70,"emisiones",'6.1_Resultats Illes Balears'!E$71:E316))/1000)-SUM(N$72:N315)</f>
        <v>0</v>
      </c>
      <c r="O316" s="508"/>
      <c r="P316" s="508">
        <f t="shared" si="7"/>
        <v>0</v>
      </c>
      <c r="Q316" s="508"/>
      <c r="R316" s="508"/>
    </row>
    <row r="317" spans="1:18" x14ac:dyDescent="0.3">
      <c r="A317" s="198"/>
      <c r="E317" s="197" t="str">
        <f>IF(Dades!E907="","",Dades!E907)</f>
        <v/>
      </c>
      <c r="F317" s="396">
        <f>(DSUM('1_Combustibles fòssils'!$E$17:$N$39,"emissions",'6.1_Resultats Illes Balears'!E$71:E317)/1000)-SUM(F$72:F316)</f>
        <v>0</v>
      </c>
      <c r="G317" s="396">
        <f>((DSUM('1_Combustibles fòssils'!$E$47:$U$67,"emissions1",'6.1_Resultats Illes Balears'!E$71:E317)+DSUM('1_Combustibles fòssils'!$E$47:$U$67,"emissions2",'6.1_Resultats Illes Balears'!E$71:E317))/1000)-SUM(G$72:G316)</f>
        <v>0</v>
      </c>
      <c r="H317" s="396">
        <f>(DSUM('2_Fluorats'!$E$11:$P$33,"emissions",'6.1_Resultats Illes Balears'!E$71:E317)/1000)-SUM(H$72:H316)</f>
        <v>0</v>
      </c>
      <c r="I317" s="507">
        <f>(DSUM('3_Emissions processos'!$E$13:$K$35,"emissions",'6.1_Resultats Illes Balears'!E$71:E317)/1000)-SUM(I$72:I316)</f>
        <v>0</v>
      </c>
      <c r="J317" s="507"/>
      <c r="K317" s="508">
        <f t="shared" si="6"/>
        <v>0</v>
      </c>
      <c r="L317" s="508"/>
      <c r="M317" s="508"/>
      <c r="N317" s="507">
        <f>((DSUM('4.1_Electricitat Illes Balears'!$E$20:$J$42,"emisiones",'6.1_Resultats Illes Balears'!E$71:E317)+DSUM('4.1_Electricitat Illes Balears'!$E$50:$K$70,"emisiones",'6.1_Resultats Illes Balears'!E$71:E317))/1000)-SUM(N$72:N316)</f>
        <v>0</v>
      </c>
      <c r="O317" s="508"/>
      <c r="P317" s="508">
        <f t="shared" si="7"/>
        <v>0</v>
      </c>
      <c r="Q317" s="508"/>
      <c r="R317" s="508"/>
    </row>
    <row r="318" spans="1:18" x14ac:dyDescent="0.3">
      <c r="A318" s="198"/>
      <c r="E318" s="197" t="str">
        <f>IF(Dades!E908="","",Dades!E908)</f>
        <v/>
      </c>
      <c r="F318" s="396">
        <f>(DSUM('1_Combustibles fòssils'!$E$17:$N$39,"emissions",'6.1_Resultats Illes Balears'!E$71:E318)/1000)-SUM(F$72:F317)</f>
        <v>0</v>
      </c>
      <c r="G318" s="396">
        <f>((DSUM('1_Combustibles fòssils'!$E$47:$U$67,"emissions1",'6.1_Resultats Illes Balears'!E$71:E318)+DSUM('1_Combustibles fòssils'!$E$47:$U$67,"emissions2",'6.1_Resultats Illes Balears'!E$71:E318))/1000)-SUM(G$72:G317)</f>
        <v>0</v>
      </c>
      <c r="H318" s="396">
        <f>(DSUM('2_Fluorats'!$E$11:$P$33,"emissions",'6.1_Resultats Illes Balears'!E$71:E318)/1000)-SUM(H$72:H317)</f>
        <v>0</v>
      </c>
      <c r="I318" s="507">
        <f>(DSUM('3_Emissions processos'!$E$13:$K$35,"emissions",'6.1_Resultats Illes Balears'!E$71:E318)/1000)-SUM(I$72:I317)</f>
        <v>0</v>
      </c>
      <c r="J318" s="507"/>
      <c r="K318" s="508">
        <f t="shared" si="6"/>
        <v>0</v>
      </c>
      <c r="L318" s="508"/>
      <c r="M318" s="508"/>
      <c r="N318" s="507">
        <f>((DSUM('4.1_Electricitat Illes Balears'!$E$20:$J$42,"emisiones",'6.1_Resultats Illes Balears'!E$71:E318)+DSUM('4.1_Electricitat Illes Balears'!$E$50:$K$70,"emisiones",'6.1_Resultats Illes Balears'!E$71:E318))/1000)-SUM(N$72:N317)</f>
        <v>0</v>
      </c>
      <c r="O318" s="508"/>
      <c r="P318" s="508">
        <f t="shared" si="7"/>
        <v>0</v>
      </c>
      <c r="Q318" s="508"/>
      <c r="R318" s="508"/>
    </row>
    <row r="319" spans="1:18" x14ac:dyDescent="0.3">
      <c r="A319" s="198"/>
      <c r="E319" s="197" t="str">
        <f>IF(Dades!E909="","",Dades!E909)</f>
        <v/>
      </c>
      <c r="F319" s="396">
        <f>(DSUM('1_Combustibles fòssils'!$E$17:$N$39,"emissions",'6.1_Resultats Illes Balears'!E$71:E319)/1000)-SUM(F$72:F318)</f>
        <v>0</v>
      </c>
      <c r="G319" s="396">
        <f>((DSUM('1_Combustibles fòssils'!$E$47:$U$67,"emissions1",'6.1_Resultats Illes Balears'!E$71:E319)+DSUM('1_Combustibles fòssils'!$E$47:$U$67,"emissions2",'6.1_Resultats Illes Balears'!E$71:E319))/1000)-SUM(G$72:G318)</f>
        <v>0</v>
      </c>
      <c r="H319" s="396">
        <f>(DSUM('2_Fluorats'!$E$11:$P$33,"emissions",'6.1_Resultats Illes Balears'!E$71:E319)/1000)-SUM(H$72:H318)</f>
        <v>0</v>
      </c>
      <c r="I319" s="507">
        <f>(DSUM('3_Emissions processos'!$E$13:$K$35,"emissions",'6.1_Resultats Illes Balears'!E$71:E319)/1000)-SUM(I$72:I318)</f>
        <v>0</v>
      </c>
      <c r="J319" s="507"/>
      <c r="K319" s="508">
        <f t="shared" si="6"/>
        <v>0</v>
      </c>
      <c r="L319" s="508"/>
      <c r="M319" s="508"/>
      <c r="N319" s="507">
        <f>((DSUM('4.1_Electricitat Illes Balears'!$E$20:$J$42,"emisiones",'6.1_Resultats Illes Balears'!E$71:E319)+DSUM('4.1_Electricitat Illes Balears'!$E$50:$K$70,"emisiones",'6.1_Resultats Illes Balears'!E$71:E319))/1000)-SUM(N$72:N318)</f>
        <v>0</v>
      </c>
      <c r="O319" s="508"/>
      <c r="P319" s="508">
        <f t="shared" si="7"/>
        <v>0</v>
      </c>
      <c r="Q319" s="508"/>
      <c r="R319" s="508"/>
    </row>
    <row r="320" spans="1:18" x14ac:dyDescent="0.3">
      <c r="A320" s="198"/>
      <c r="E320" s="197" t="str">
        <f>IF(Dades!E910="","",Dades!E910)</f>
        <v/>
      </c>
      <c r="F320" s="396">
        <f>(DSUM('1_Combustibles fòssils'!$E$17:$N$39,"emissions",'6.1_Resultats Illes Balears'!E$71:E320)/1000)-SUM(F$72:F319)</f>
        <v>0</v>
      </c>
      <c r="G320" s="396">
        <f>((DSUM('1_Combustibles fòssils'!$E$47:$U$67,"emissions1",'6.1_Resultats Illes Balears'!E$71:E320)+DSUM('1_Combustibles fòssils'!$E$47:$U$67,"emissions2",'6.1_Resultats Illes Balears'!E$71:E320))/1000)-SUM(G$72:G319)</f>
        <v>0</v>
      </c>
      <c r="H320" s="396">
        <f>(DSUM('2_Fluorats'!$E$11:$P$33,"emissions",'6.1_Resultats Illes Balears'!E$71:E320)/1000)-SUM(H$72:H319)</f>
        <v>0</v>
      </c>
      <c r="I320" s="507">
        <f>(DSUM('3_Emissions processos'!$E$13:$K$35,"emissions",'6.1_Resultats Illes Balears'!E$71:E320)/1000)-SUM(I$72:I319)</f>
        <v>0</v>
      </c>
      <c r="J320" s="507"/>
      <c r="K320" s="508">
        <f t="shared" si="6"/>
        <v>0</v>
      </c>
      <c r="L320" s="508"/>
      <c r="M320" s="508"/>
      <c r="N320" s="507">
        <f>((DSUM('4.1_Electricitat Illes Balears'!$E$20:$J$42,"emisiones",'6.1_Resultats Illes Balears'!E$71:E320)+DSUM('4.1_Electricitat Illes Balears'!$E$50:$K$70,"emisiones",'6.1_Resultats Illes Balears'!E$71:E320))/1000)-SUM(N$72:N319)</f>
        <v>0</v>
      </c>
      <c r="O320" s="508"/>
      <c r="P320" s="508">
        <f t="shared" si="7"/>
        <v>0</v>
      </c>
      <c r="Q320" s="508"/>
      <c r="R320" s="508"/>
    </row>
    <row r="321" spans="1:18" x14ac:dyDescent="0.3">
      <c r="A321" s="198"/>
      <c r="E321" s="197" t="str">
        <f>IF(Dades!E911="","",Dades!E911)</f>
        <v/>
      </c>
      <c r="F321" s="396">
        <f>(DSUM('1_Combustibles fòssils'!$E$17:$N$39,"emissions",'6.1_Resultats Illes Balears'!E$71:E321)/1000)-SUM(F$72:F320)</f>
        <v>0</v>
      </c>
      <c r="G321" s="396">
        <f>((DSUM('1_Combustibles fòssils'!$E$47:$U$67,"emissions1",'6.1_Resultats Illes Balears'!E$71:E321)+DSUM('1_Combustibles fòssils'!$E$47:$U$67,"emissions2",'6.1_Resultats Illes Balears'!E$71:E321))/1000)-SUM(G$72:G320)</f>
        <v>0</v>
      </c>
      <c r="H321" s="396">
        <f>(DSUM('2_Fluorats'!$E$11:$P$33,"emissions",'6.1_Resultats Illes Balears'!E$71:E321)/1000)-SUM(H$72:H320)</f>
        <v>0</v>
      </c>
      <c r="I321" s="507">
        <f>(DSUM('3_Emissions processos'!$E$13:$K$35,"emissions",'6.1_Resultats Illes Balears'!E$71:E321)/1000)-SUM(I$72:I320)</f>
        <v>0</v>
      </c>
      <c r="J321" s="507"/>
      <c r="K321" s="508">
        <f t="shared" si="6"/>
        <v>0</v>
      </c>
      <c r="L321" s="508"/>
      <c r="M321" s="508"/>
      <c r="N321" s="507">
        <f>((DSUM('4.1_Electricitat Illes Balears'!$E$20:$J$42,"emisiones",'6.1_Resultats Illes Balears'!E$71:E321)+DSUM('4.1_Electricitat Illes Balears'!$E$50:$K$70,"emisiones",'6.1_Resultats Illes Balears'!E$71:E321))/1000)-SUM(N$72:N320)</f>
        <v>0</v>
      </c>
      <c r="O321" s="508"/>
      <c r="P321" s="508">
        <f t="shared" si="7"/>
        <v>0</v>
      </c>
      <c r="Q321" s="508"/>
      <c r="R321" s="508"/>
    </row>
    <row r="322" spans="1:18" x14ac:dyDescent="0.3">
      <c r="F322" s="66"/>
      <c r="G322" s="50"/>
      <c r="H322" s="50"/>
      <c r="I322" s="402"/>
      <c r="J322" s="50"/>
      <c r="K322" s="50"/>
      <c r="L322" s="50"/>
      <c r="M322" s="50"/>
      <c r="N322" s="66"/>
      <c r="O322" s="66"/>
      <c r="P322" s="66"/>
      <c r="Q322" s="66"/>
      <c r="R322" s="66"/>
    </row>
  </sheetData>
  <sheetProtection sheet="1" objects="1" scenarios="1"/>
  <mergeCells count="1057">
    <mergeCell ref="P165:R165"/>
    <mergeCell ref="N189:O189"/>
    <mergeCell ref="N181:O181"/>
    <mergeCell ref="N183:O183"/>
    <mergeCell ref="N184:O184"/>
    <mergeCell ref="N185:O185"/>
    <mergeCell ref="N187:O187"/>
    <mergeCell ref="I181:J181"/>
    <mergeCell ref="K181:M181"/>
    <mergeCell ref="I185:J185"/>
    <mergeCell ref="K185:M185"/>
    <mergeCell ref="I189:J189"/>
    <mergeCell ref="K189:M189"/>
    <mergeCell ref="N146:O146"/>
    <mergeCell ref="N158:O158"/>
    <mergeCell ref="N170:O170"/>
    <mergeCell ref="N182:O182"/>
    <mergeCell ref="N172:O172"/>
    <mergeCell ref="N173:O173"/>
    <mergeCell ref="N175:O175"/>
    <mergeCell ref="N157:O157"/>
    <mergeCell ref="N159:O159"/>
    <mergeCell ref="N160:O160"/>
    <mergeCell ref="N161:O161"/>
    <mergeCell ref="I156:J156"/>
    <mergeCell ref="K156:M156"/>
    <mergeCell ref="N156:O156"/>
    <mergeCell ref="P156:R156"/>
    <mergeCell ref="I157:J157"/>
    <mergeCell ref="K157:M157"/>
    <mergeCell ref="P157:R157"/>
    <mergeCell ref="I158:J158"/>
    <mergeCell ref="K158:M158"/>
    <mergeCell ref="P158:R158"/>
    <mergeCell ref="I159:J159"/>
    <mergeCell ref="K159:M159"/>
    <mergeCell ref="P159:R159"/>
    <mergeCell ref="I160:J160"/>
    <mergeCell ref="I132:J132"/>
    <mergeCell ref="K132:M132"/>
    <mergeCell ref="N132:O132"/>
    <mergeCell ref="P132:R132"/>
    <mergeCell ref="I133:J133"/>
    <mergeCell ref="K133:M133"/>
    <mergeCell ref="P133:R133"/>
    <mergeCell ref="I134:J134"/>
    <mergeCell ref="K134:M134"/>
    <mergeCell ref="P134:R134"/>
    <mergeCell ref="N137:O137"/>
    <mergeCell ref="N139:O139"/>
    <mergeCell ref="N141:O141"/>
    <mergeCell ref="N145:O145"/>
    <mergeCell ref="I138:J138"/>
    <mergeCell ref="K138:M138"/>
    <mergeCell ref="N138:O138"/>
    <mergeCell ref="P138:R138"/>
    <mergeCell ref="I139:J139"/>
    <mergeCell ref="K139:M139"/>
    <mergeCell ref="P139:R139"/>
    <mergeCell ref="I140:J140"/>
    <mergeCell ref="K140:M140"/>
    <mergeCell ref="N140:O140"/>
    <mergeCell ref="P140:R140"/>
    <mergeCell ref="I141:J141"/>
    <mergeCell ref="K141:M141"/>
    <mergeCell ref="P141:R141"/>
    <mergeCell ref="N134:O134"/>
    <mergeCell ref="P105:R105"/>
    <mergeCell ref="I106:J106"/>
    <mergeCell ref="K106:M106"/>
    <mergeCell ref="N106:O106"/>
    <mergeCell ref="P106:R106"/>
    <mergeCell ref="N112:O112"/>
    <mergeCell ref="N113:O113"/>
    <mergeCell ref="N115:O115"/>
    <mergeCell ref="N117:O117"/>
    <mergeCell ref="I113:J113"/>
    <mergeCell ref="K113:M113"/>
    <mergeCell ref="P113:R113"/>
    <mergeCell ref="I114:J114"/>
    <mergeCell ref="K114:M114"/>
    <mergeCell ref="N114:O114"/>
    <mergeCell ref="P114:R114"/>
    <mergeCell ref="I115:J115"/>
    <mergeCell ref="K115:M115"/>
    <mergeCell ref="P115:R115"/>
    <mergeCell ref="I116:J116"/>
    <mergeCell ref="K116:M116"/>
    <mergeCell ref="N116:O116"/>
    <mergeCell ref="P116:R116"/>
    <mergeCell ref="N110:O110"/>
    <mergeCell ref="I107:J107"/>
    <mergeCell ref="K107:M107"/>
    <mergeCell ref="N107:O107"/>
    <mergeCell ref="P107:R107"/>
    <mergeCell ref="I108:J108"/>
    <mergeCell ref="N72:O72"/>
    <mergeCell ref="P72:R72"/>
    <mergeCell ref="I78:J78"/>
    <mergeCell ref="N97:O97"/>
    <mergeCell ref="N99:O99"/>
    <mergeCell ref="N100:O100"/>
    <mergeCell ref="N101:O101"/>
    <mergeCell ref="I96:J96"/>
    <mergeCell ref="K96:M96"/>
    <mergeCell ref="N96:O96"/>
    <mergeCell ref="P96:R96"/>
    <mergeCell ref="I97:J97"/>
    <mergeCell ref="K97:M97"/>
    <mergeCell ref="P97:R97"/>
    <mergeCell ref="I98:J98"/>
    <mergeCell ref="K98:M98"/>
    <mergeCell ref="P98:R98"/>
    <mergeCell ref="I99:J99"/>
    <mergeCell ref="K99:M99"/>
    <mergeCell ref="P99:R99"/>
    <mergeCell ref="I100:J100"/>
    <mergeCell ref="N98:O98"/>
    <mergeCell ref="K78:M78"/>
    <mergeCell ref="N78:O78"/>
    <mergeCell ref="P78:R78"/>
    <mergeCell ref="I73:J73"/>
    <mergeCell ref="K73:M73"/>
    <mergeCell ref="N73:O73"/>
    <mergeCell ref="P73:R73"/>
    <mergeCell ref="I74:J74"/>
    <mergeCell ref="K74:M74"/>
    <mergeCell ref="N74:O74"/>
    <mergeCell ref="J31:K31"/>
    <mergeCell ref="E32:K32"/>
    <mergeCell ref="D34:U34"/>
    <mergeCell ref="E38:E40"/>
    <mergeCell ref="O65:O66"/>
    <mergeCell ref="P65:P66"/>
    <mergeCell ref="Q65:Q66"/>
    <mergeCell ref="D68:U68"/>
    <mergeCell ref="I71:J71"/>
    <mergeCell ref="K71:M71"/>
    <mergeCell ref="N77:O77"/>
    <mergeCell ref="N79:O79"/>
    <mergeCell ref="N81:O81"/>
    <mergeCell ref="N85:O85"/>
    <mergeCell ref="I79:J79"/>
    <mergeCell ref="K79:M79"/>
    <mergeCell ref="P79:R79"/>
    <mergeCell ref="I80:J80"/>
    <mergeCell ref="K80:M80"/>
    <mergeCell ref="N80:O80"/>
    <mergeCell ref="P80:R80"/>
    <mergeCell ref="I81:J81"/>
    <mergeCell ref="K81:M81"/>
    <mergeCell ref="P81:R81"/>
    <mergeCell ref="I82:J82"/>
    <mergeCell ref="K82:M82"/>
    <mergeCell ref="N82:O82"/>
    <mergeCell ref="P82:R82"/>
    <mergeCell ref="N71:O71"/>
    <mergeCell ref="P71:R71"/>
    <mergeCell ref="I72:J72"/>
    <mergeCell ref="K72:M72"/>
    <mergeCell ref="C1:U1"/>
    <mergeCell ref="E3:F3"/>
    <mergeCell ref="G3:S3"/>
    <mergeCell ref="A4:A5"/>
    <mergeCell ref="E5:F6"/>
    <mergeCell ref="G5:S6"/>
    <mergeCell ref="A6:A7"/>
    <mergeCell ref="A8:A9"/>
    <mergeCell ref="D8:U9"/>
    <mergeCell ref="A10:A11"/>
    <mergeCell ref="E11:M12"/>
    <mergeCell ref="A12:A13"/>
    <mergeCell ref="E14:F14"/>
    <mergeCell ref="E16:G16"/>
    <mergeCell ref="H16:I16"/>
    <mergeCell ref="J16:K16"/>
    <mergeCell ref="A17:A18"/>
    <mergeCell ref="E17:G17"/>
    <mergeCell ref="H17:I17"/>
    <mergeCell ref="J17:K17"/>
    <mergeCell ref="E19:G19"/>
    <mergeCell ref="H19:I19"/>
    <mergeCell ref="J19:K19"/>
    <mergeCell ref="E21:L21"/>
    <mergeCell ref="E23:E26"/>
    <mergeCell ref="F23:G23"/>
    <mergeCell ref="H23:I23"/>
    <mergeCell ref="J23:K23"/>
    <mergeCell ref="F24:G24"/>
    <mergeCell ref="H24:I24"/>
    <mergeCell ref="J24:K24"/>
    <mergeCell ref="I76:J76"/>
    <mergeCell ref="K76:M76"/>
    <mergeCell ref="N76:O76"/>
    <mergeCell ref="P76:R76"/>
    <mergeCell ref="I77:J77"/>
    <mergeCell ref="K77:M77"/>
    <mergeCell ref="P77:R77"/>
    <mergeCell ref="F25:G25"/>
    <mergeCell ref="H25:I25"/>
    <mergeCell ref="J25:K25"/>
    <mergeCell ref="F26:G26"/>
    <mergeCell ref="H26:I26"/>
    <mergeCell ref="J26:K26"/>
    <mergeCell ref="E27:G27"/>
    <mergeCell ref="H27:I27"/>
    <mergeCell ref="J27:K27"/>
    <mergeCell ref="F29:G29"/>
    <mergeCell ref="H29:I29"/>
    <mergeCell ref="J29:K29"/>
    <mergeCell ref="E31:G31"/>
    <mergeCell ref="H31:I31"/>
    <mergeCell ref="P74:R74"/>
    <mergeCell ref="I75:J75"/>
    <mergeCell ref="K75:M75"/>
    <mergeCell ref="N75:O75"/>
    <mergeCell ref="P75:R75"/>
    <mergeCell ref="I86:J86"/>
    <mergeCell ref="K86:M86"/>
    <mergeCell ref="P86:R86"/>
    <mergeCell ref="I87:J87"/>
    <mergeCell ref="K87:M87"/>
    <mergeCell ref="P87:R87"/>
    <mergeCell ref="I88:J88"/>
    <mergeCell ref="K88:M88"/>
    <mergeCell ref="P88:R88"/>
    <mergeCell ref="I83:J83"/>
    <mergeCell ref="K83:M83"/>
    <mergeCell ref="N83:O83"/>
    <mergeCell ref="P83:R83"/>
    <mergeCell ref="I84:J84"/>
    <mergeCell ref="K84:M84"/>
    <mergeCell ref="N84:O84"/>
    <mergeCell ref="P84:R84"/>
    <mergeCell ref="I85:J85"/>
    <mergeCell ref="K85:M85"/>
    <mergeCell ref="P85:R85"/>
    <mergeCell ref="N87:O87"/>
    <mergeCell ref="N88:O88"/>
    <mergeCell ref="N86:O86"/>
    <mergeCell ref="P93:R93"/>
    <mergeCell ref="I94:J94"/>
    <mergeCell ref="K94:M94"/>
    <mergeCell ref="N94:O94"/>
    <mergeCell ref="P94:R94"/>
    <mergeCell ref="I95:J95"/>
    <mergeCell ref="K95:M95"/>
    <mergeCell ref="N95:O95"/>
    <mergeCell ref="P95:R95"/>
    <mergeCell ref="P89:R89"/>
    <mergeCell ref="I90:J90"/>
    <mergeCell ref="K90:M90"/>
    <mergeCell ref="N90:O90"/>
    <mergeCell ref="P90:R90"/>
    <mergeCell ref="I91:J91"/>
    <mergeCell ref="K91:M91"/>
    <mergeCell ref="P91:R91"/>
    <mergeCell ref="I92:J92"/>
    <mergeCell ref="K92:M92"/>
    <mergeCell ref="N92:O92"/>
    <mergeCell ref="P92:R92"/>
    <mergeCell ref="N89:O89"/>
    <mergeCell ref="N91:O91"/>
    <mergeCell ref="N93:O93"/>
    <mergeCell ref="I89:J89"/>
    <mergeCell ref="K89:M89"/>
    <mergeCell ref="I93:J93"/>
    <mergeCell ref="K93:M93"/>
    <mergeCell ref="K108:M108"/>
    <mergeCell ref="N108:O108"/>
    <mergeCell ref="P108:R108"/>
    <mergeCell ref="I109:J109"/>
    <mergeCell ref="K109:M109"/>
    <mergeCell ref="P109:R109"/>
    <mergeCell ref="K100:M100"/>
    <mergeCell ref="P100:R100"/>
    <mergeCell ref="I101:J101"/>
    <mergeCell ref="K101:M101"/>
    <mergeCell ref="P101:R101"/>
    <mergeCell ref="I102:J102"/>
    <mergeCell ref="K102:M102"/>
    <mergeCell ref="N102:O102"/>
    <mergeCell ref="P102:R102"/>
    <mergeCell ref="N103:O103"/>
    <mergeCell ref="N105:O105"/>
    <mergeCell ref="N109:O109"/>
    <mergeCell ref="I103:J103"/>
    <mergeCell ref="K103:M103"/>
    <mergeCell ref="P103:R103"/>
    <mergeCell ref="I104:J104"/>
    <mergeCell ref="K104:M104"/>
    <mergeCell ref="N104:O104"/>
    <mergeCell ref="P104:R104"/>
    <mergeCell ref="I105:J105"/>
    <mergeCell ref="K105:M105"/>
    <mergeCell ref="I117:J117"/>
    <mergeCell ref="K117:M117"/>
    <mergeCell ref="P117:R117"/>
    <mergeCell ref="I118:J118"/>
    <mergeCell ref="K118:M118"/>
    <mergeCell ref="N118:O118"/>
    <mergeCell ref="P118:R118"/>
    <mergeCell ref="I119:J119"/>
    <mergeCell ref="K119:M119"/>
    <mergeCell ref="N119:O119"/>
    <mergeCell ref="P119:R119"/>
    <mergeCell ref="I110:J110"/>
    <mergeCell ref="K110:M110"/>
    <mergeCell ref="P110:R110"/>
    <mergeCell ref="I111:J111"/>
    <mergeCell ref="K111:M111"/>
    <mergeCell ref="P111:R111"/>
    <mergeCell ref="I112:J112"/>
    <mergeCell ref="K112:M112"/>
    <mergeCell ref="P112:R112"/>
    <mergeCell ref="N111:O111"/>
    <mergeCell ref="P123:R123"/>
    <mergeCell ref="I124:J124"/>
    <mergeCell ref="K124:M124"/>
    <mergeCell ref="P124:R124"/>
    <mergeCell ref="I125:J125"/>
    <mergeCell ref="K125:M125"/>
    <mergeCell ref="P125:R125"/>
    <mergeCell ref="I126:J126"/>
    <mergeCell ref="K126:M126"/>
    <mergeCell ref="N126:O126"/>
    <mergeCell ref="P126:R126"/>
    <mergeCell ref="I120:J120"/>
    <mergeCell ref="K120:M120"/>
    <mergeCell ref="N120:O120"/>
    <mergeCell ref="P120:R120"/>
    <mergeCell ref="I121:J121"/>
    <mergeCell ref="K121:M121"/>
    <mergeCell ref="P121:R121"/>
    <mergeCell ref="I122:J122"/>
    <mergeCell ref="K122:M122"/>
    <mergeCell ref="P122:R122"/>
    <mergeCell ref="N121:O121"/>
    <mergeCell ref="N123:O123"/>
    <mergeCell ref="N124:O124"/>
    <mergeCell ref="N125:O125"/>
    <mergeCell ref="I123:J123"/>
    <mergeCell ref="K123:M123"/>
    <mergeCell ref="N122:O122"/>
    <mergeCell ref="I135:J135"/>
    <mergeCell ref="K135:M135"/>
    <mergeCell ref="P135:R135"/>
    <mergeCell ref="I136:J136"/>
    <mergeCell ref="K136:M136"/>
    <mergeCell ref="P136:R136"/>
    <mergeCell ref="I137:J137"/>
    <mergeCell ref="K137:M137"/>
    <mergeCell ref="P137:R137"/>
    <mergeCell ref="P127:R127"/>
    <mergeCell ref="I128:J128"/>
    <mergeCell ref="K128:M128"/>
    <mergeCell ref="N128:O128"/>
    <mergeCell ref="P128:R128"/>
    <mergeCell ref="I129:J129"/>
    <mergeCell ref="K129:M129"/>
    <mergeCell ref="P129:R129"/>
    <mergeCell ref="I130:J130"/>
    <mergeCell ref="K130:M130"/>
    <mergeCell ref="N130:O130"/>
    <mergeCell ref="P130:R130"/>
    <mergeCell ref="N127:O127"/>
    <mergeCell ref="I127:J127"/>
    <mergeCell ref="K127:M127"/>
    <mergeCell ref="N129:O129"/>
    <mergeCell ref="N133:O133"/>
    <mergeCell ref="N135:O135"/>
    <mergeCell ref="N136:O136"/>
    <mergeCell ref="I131:J131"/>
    <mergeCell ref="K131:M131"/>
    <mergeCell ref="N131:O131"/>
    <mergeCell ref="P131:R131"/>
    <mergeCell ref="I145:J145"/>
    <mergeCell ref="K145:M145"/>
    <mergeCell ref="P145:R145"/>
    <mergeCell ref="I146:J146"/>
    <mergeCell ref="K146:M146"/>
    <mergeCell ref="P146:R146"/>
    <mergeCell ref="I147:J147"/>
    <mergeCell ref="K147:M147"/>
    <mergeCell ref="P147:R147"/>
    <mergeCell ref="I142:J142"/>
    <mergeCell ref="K142:M142"/>
    <mergeCell ref="N142:O142"/>
    <mergeCell ref="P142:R142"/>
    <mergeCell ref="I143:J143"/>
    <mergeCell ref="K143:M143"/>
    <mergeCell ref="N143:O143"/>
    <mergeCell ref="P143:R143"/>
    <mergeCell ref="I144:J144"/>
    <mergeCell ref="K144:M144"/>
    <mergeCell ref="N144:O144"/>
    <mergeCell ref="P144:R144"/>
    <mergeCell ref="N147:O147"/>
    <mergeCell ref="P152:R152"/>
    <mergeCell ref="I153:J153"/>
    <mergeCell ref="K153:M153"/>
    <mergeCell ref="P153:R153"/>
    <mergeCell ref="I154:J154"/>
    <mergeCell ref="K154:M154"/>
    <mergeCell ref="N154:O154"/>
    <mergeCell ref="P154:R154"/>
    <mergeCell ref="I155:J155"/>
    <mergeCell ref="K155:M155"/>
    <mergeCell ref="N155:O155"/>
    <mergeCell ref="P155:R155"/>
    <mergeCell ref="P148:R148"/>
    <mergeCell ref="I149:J149"/>
    <mergeCell ref="K149:M149"/>
    <mergeCell ref="P149:R149"/>
    <mergeCell ref="I150:J150"/>
    <mergeCell ref="K150:M150"/>
    <mergeCell ref="N150:O150"/>
    <mergeCell ref="P150:R150"/>
    <mergeCell ref="I151:J151"/>
    <mergeCell ref="K151:M151"/>
    <mergeCell ref="P151:R151"/>
    <mergeCell ref="N148:O148"/>
    <mergeCell ref="N149:O149"/>
    <mergeCell ref="N151:O151"/>
    <mergeCell ref="N153:O153"/>
    <mergeCell ref="I148:J148"/>
    <mergeCell ref="K148:M148"/>
    <mergeCell ref="I152:J152"/>
    <mergeCell ref="K152:M152"/>
    <mergeCell ref="N152:O152"/>
    <mergeCell ref="I166:J166"/>
    <mergeCell ref="K166:M166"/>
    <mergeCell ref="N166:O166"/>
    <mergeCell ref="P166:R166"/>
    <mergeCell ref="I167:J167"/>
    <mergeCell ref="K167:M167"/>
    <mergeCell ref="N167:O167"/>
    <mergeCell ref="P167:R167"/>
    <mergeCell ref="I168:J168"/>
    <mergeCell ref="K168:M168"/>
    <mergeCell ref="N168:O168"/>
    <mergeCell ref="P168:R168"/>
    <mergeCell ref="K160:M160"/>
    <mergeCell ref="P160:R160"/>
    <mergeCell ref="I161:J161"/>
    <mergeCell ref="K161:M161"/>
    <mergeCell ref="P161:R161"/>
    <mergeCell ref="I162:J162"/>
    <mergeCell ref="K162:M162"/>
    <mergeCell ref="N162:O162"/>
    <mergeCell ref="P162:R162"/>
    <mergeCell ref="N163:O163"/>
    <mergeCell ref="N165:O165"/>
    <mergeCell ref="I163:J163"/>
    <mergeCell ref="K163:M163"/>
    <mergeCell ref="P163:R163"/>
    <mergeCell ref="I164:J164"/>
    <mergeCell ref="K164:M164"/>
    <mergeCell ref="N164:O164"/>
    <mergeCell ref="P164:R164"/>
    <mergeCell ref="I165:J165"/>
    <mergeCell ref="K165:M165"/>
    <mergeCell ref="I172:J172"/>
    <mergeCell ref="K172:M172"/>
    <mergeCell ref="P172:R172"/>
    <mergeCell ref="I173:J173"/>
    <mergeCell ref="K173:M173"/>
    <mergeCell ref="P173:R173"/>
    <mergeCell ref="I174:J174"/>
    <mergeCell ref="K174:M174"/>
    <mergeCell ref="N174:O174"/>
    <mergeCell ref="P174:R174"/>
    <mergeCell ref="I169:J169"/>
    <mergeCell ref="K169:M169"/>
    <mergeCell ref="P169:R169"/>
    <mergeCell ref="I170:J170"/>
    <mergeCell ref="K170:M170"/>
    <mergeCell ref="P170:R170"/>
    <mergeCell ref="I171:J171"/>
    <mergeCell ref="K171:M171"/>
    <mergeCell ref="P171:R171"/>
    <mergeCell ref="N169:O169"/>
    <mergeCell ref="N171:O171"/>
    <mergeCell ref="I178:J178"/>
    <mergeCell ref="K178:M178"/>
    <mergeCell ref="N178:O178"/>
    <mergeCell ref="P178:R178"/>
    <mergeCell ref="I179:J179"/>
    <mergeCell ref="K179:M179"/>
    <mergeCell ref="N179:O179"/>
    <mergeCell ref="P179:R179"/>
    <mergeCell ref="I180:J180"/>
    <mergeCell ref="K180:M180"/>
    <mergeCell ref="N180:O180"/>
    <mergeCell ref="P180:R180"/>
    <mergeCell ref="I175:J175"/>
    <mergeCell ref="K175:M175"/>
    <mergeCell ref="P175:R175"/>
    <mergeCell ref="I176:J176"/>
    <mergeCell ref="K176:M176"/>
    <mergeCell ref="N176:O176"/>
    <mergeCell ref="P176:R176"/>
    <mergeCell ref="I177:J177"/>
    <mergeCell ref="K177:M177"/>
    <mergeCell ref="P177:R177"/>
    <mergeCell ref="N177:O177"/>
    <mergeCell ref="P185:R185"/>
    <mergeCell ref="I186:J186"/>
    <mergeCell ref="K186:M186"/>
    <mergeCell ref="N186:O186"/>
    <mergeCell ref="P186:R186"/>
    <mergeCell ref="I187:J187"/>
    <mergeCell ref="K187:M187"/>
    <mergeCell ref="P187:R187"/>
    <mergeCell ref="I188:J188"/>
    <mergeCell ref="K188:M188"/>
    <mergeCell ref="N188:O188"/>
    <mergeCell ref="P188:R188"/>
    <mergeCell ref="P181:R181"/>
    <mergeCell ref="I182:J182"/>
    <mergeCell ref="K182:M182"/>
    <mergeCell ref="P182:R182"/>
    <mergeCell ref="I183:J183"/>
    <mergeCell ref="K183:M183"/>
    <mergeCell ref="P183:R183"/>
    <mergeCell ref="I184:J184"/>
    <mergeCell ref="K184:M184"/>
    <mergeCell ref="P184:R184"/>
    <mergeCell ref="I192:J192"/>
    <mergeCell ref="K192:M192"/>
    <mergeCell ref="N192:O192"/>
    <mergeCell ref="P192:R192"/>
    <mergeCell ref="I193:J193"/>
    <mergeCell ref="K193:M193"/>
    <mergeCell ref="N193:O193"/>
    <mergeCell ref="P193:R193"/>
    <mergeCell ref="I194:J194"/>
    <mergeCell ref="K194:M194"/>
    <mergeCell ref="N194:O194"/>
    <mergeCell ref="P194:R194"/>
    <mergeCell ref="P189:R189"/>
    <mergeCell ref="I190:J190"/>
    <mergeCell ref="K190:M190"/>
    <mergeCell ref="N190:O190"/>
    <mergeCell ref="P190:R190"/>
    <mergeCell ref="I191:J191"/>
    <mergeCell ref="K191:M191"/>
    <mergeCell ref="N191:O191"/>
    <mergeCell ref="P191:R191"/>
    <mergeCell ref="I198:J198"/>
    <mergeCell ref="K198:M198"/>
    <mergeCell ref="N198:O198"/>
    <mergeCell ref="P198:R198"/>
    <mergeCell ref="I199:J199"/>
    <mergeCell ref="K199:M199"/>
    <mergeCell ref="N199:O199"/>
    <mergeCell ref="P199:R199"/>
    <mergeCell ref="I200:J200"/>
    <mergeCell ref="K200:M200"/>
    <mergeCell ref="N200:O200"/>
    <mergeCell ref="P200:R200"/>
    <mergeCell ref="I195:J195"/>
    <mergeCell ref="K195:M195"/>
    <mergeCell ref="N195:O195"/>
    <mergeCell ref="P195:R195"/>
    <mergeCell ref="I196:J196"/>
    <mergeCell ref="K196:M196"/>
    <mergeCell ref="N196:O196"/>
    <mergeCell ref="P196:R196"/>
    <mergeCell ref="I197:J197"/>
    <mergeCell ref="K197:M197"/>
    <mergeCell ref="N197:O197"/>
    <mergeCell ref="P197:R197"/>
    <mergeCell ref="I204:J204"/>
    <mergeCell ref="K204:M204"/>
    <mergeCell ref="N204:O204"/>
    <mergeCell ref="P204:R204"/>
    <mergeCell ref="I205:J205"/>
    <mergeCell ref="K205:M205"/>
    <mergeCell ref="N205:O205"/>
    <mergeCell ref="P205:R205"/>
    <mergeCell ref="I206:J206"/>
    <mergeCell ref="K206:M206"/>
    <mergeCell ref="N206:O206"/>
    <mergeCell ref="P206:R206"/>
    <mergeCell ref="I201:J201"/>
    <mergeCell ref="K201:M201"/>
    <mergeCell ref="N201:O201"/>
    <mergeCell ref="P201:R201"/>
    <mergeCell ref="I202:J202"/>
    <mergeCell ref="K202:M202"/>
    <mergeCell ref="N202:O202"/>
    <mergeCell ref="P202:R202"/>
    <mergeCell ref="I203:J203"/>
    <mergeCell ref="K203:M203"/>
    <mergeCell ref="N203:O203"/>
    <mergeCell ref="P203:R203"/>
    <mergeCell ref="I210:J210"/>
    <mergeCell ref="K210:M210"/>
    <mergeCell ref="N210:O210"/>
    <mergeCell ref="P210:R210"/>
    <mergeCell ref="I211:J211"/>
    <mergeCell ref="K211:M211"/>
    <mergeCell ref="N211:O211"/>
    <mergeCell ref="P211:R211"/>
    <mergeCell ref="I212:J212"/>
    <mergeCell ref="K212:M212"/>
    <mergeCell ref="N212:O212"/>
    <mergeCell ref="P212:R212"/>
    <mergeCell ref="I207:J207"/>
    <mergeCell ref="K207:M207"/>
    <mergeCell ref="N207:O207"/>
    <mergeCell ref="P207:R207"/>
    <mergeCell ref="I208:J208"/>
    <mergeCell ref="K208:M208"/>
    <mergeCell ref="N208:O208"/>
    <mergeCell ref="P208:R208"/>
    <mergeCell ref="I209:J209"/>
    <mergeCell ref="K209:M209"/>
    <mergeCell ref="N209:O209"/>
    <mergeCell ref="P209:R209"/>
    <mergeCell ref="I216:J216"/>
    <mergeCell ref="K216:M216"/>
    <mergeCell ref="N216:O216"/>
    <mergeCell ref="P216:R216"/>
    <mergeCell ref="I217:J217"/>
    <mergeCell ref="K217:M217"/>
    <mergeCell ref="N217:O217"/>
    <mergeCell ref="P217:R217"/>
    <mergeCell ref="I218:J218"/>
    <mergeCell ref="K218:M218"/>
    <mergeCell ref="N218:O218"/>
    <mergeCell ref="P218:R218"/>
    <mergeCell ref="I213:J213"/>
    <mergeCell ref="K213:M213"/>
    <mergeCell ref="N213:O213"/>
    <mergeCell ref="P213:R213"/>
    <mergeCell ref="I214:J214"/>
    <mergeCell ref="K214:M214"/>
    <mergeCell ref="N214:O214"/>
    <mergeCell ref="P214:R214"/>
    <mergeCell ref="I215:J215"/>
    <mergeCell ref="K215:M215"/>
    <mergeCell ref="N215:O215"/>
    <mergeCell ref="P215:R215"/>
    <mergeCell ref="I222:J222"/>
    <mergeCell ref="K222:M222"/>
    <mergeCell ref="N222:O222"/>
    <mergeCell ref="P222:R222"/>
    <mergeCell ref="I223:J223"/>
    <mergeCell ref="K223:M223"/>
    <mergeCell ref="N223:O223"/>
    <mergeCell ref="P223:R223"/>
    <mergeCell ref="I224:J224"/>
    <mergeCell ref="K224:M224"/>
    <mergeCell ref="N224:O224"/>
    <mergeCell ref="P224:R224"/>
    <mergeCell ref="I219:J219"/>
    <mergeCell ref="K219:M219"/>
    <mergeCell ref="N219:O219"/>
    <mergeCell ref="P219:R219"/>
    <mergeCell ref="I220:J220"/>
    <mergeCell ref="K220:M220"/>
    <mergeCell ref="N220:O220"/>
    <mergeCell ref="P220:R220"/>
    <mergeCell ref="I221:J221"/>
    <mergeCell ref="K221:M221"/>
    <mergeCell ref="N221:O221"/>
    <mergeCell ref="P221:R221"/>
    <mergeCell ref="I228:J228"/>
    <mergeCell ref="K228:M228"/>
    <mergeCell ref="N228:O228"/>
    <mergeCell ref="P228:R228"/>
    <mergeCell ref="I229:J229"/>
    <mergeCell ref="K229:M229"/>
    <mergeCell ref="N229:O229"/>
    <mergeCell ref="P229:R229"/>
    <mergeCell ref="I230:J230"/>
    <mergeCell ref="K230:M230"/>
    <mergeCell ref="N230:O230"/>
    <mergeCell ref="P230:R230"/>
    <mergeCell ref="I225:J225"/>
    <mergeCell ref="K225:M225"/>
    <mergeCell ref="N225:O225"/>
    <mergeCell ref="P225:R225"/>
    <mergeCell ref="I226:J226"/>
    <mergeCell ref="K226:M226"/>
    <mergeCell ref="N226:O226"/>
    <mergeCell ref="P226:R226"/>
    <mergeCell ref="I227:J227"/>
    <mergeCell ref="K227:M227"/>
    <mergeCell ref="N227:O227"/>
    <mergeCell ref="P227:R227"/>
    <mergeCell ref="I234:J234"/>
    <mergeCell ref="K234:M234"/>
    <mergeCell ref="N234:O234"/>
    <mergeCell ref="P234:R234"/>
    <mergeCell ref="I235:J235"/>
    <mergeCell ref="K235:M235"/>
    <mergeCell ref="N235:O235"/>
    <mergeCell ref="P235:R235"/>
    <mergeCell ref="I236:J236"/>
    <mergeCell ref="K236:M236"/>
    <mergeCell ref="N236:O236"/>
    <mergeCell ref="P236:R236"/>
    <mergeCell ref="I231:J231"/>
    <mergeCell ref="K231:M231"/>
    <mergeCell ref="N231:O231"/>
    <mergeCell ref="P231:R231"/>
    <mergeCell ref="I232:J232"/>
    <mergeCell ref="K232:M232"/>
    <mergeCell ref="N232:O232"/>
    <mergeCell ref="P232:R232"/>
    <mergeCell ref="I233:J233"/>
    <mergeCell ref="K233:M233"/>
    <mergeCell ref="N233:O233"/>
    <mergeCell ref="P233:R233"/>
    <mergeCell ref="I240:J240"/>
    <mergeCell ref="K240:M240"/>
    <mergeCell ref="N240:O240"/>
    <mergeCell ref="P240:R240"/>
    <mergeCell ref="I241:J241"/>
    <mergeCell ref="K241:M241"/>
    <mergeCell ref="N241:O241"/>
    <mergeCell ref="P241:R241"/>
    <mergeCell ref="I242:J242"/>
    <mergeCell ref="K242:M242"/>
    <mergeCell ref="N242:O242"/>
    <mergeCell ref="P242:R242"/>
    <mergeCell ref="I237:J237"/>
    <mergeCell ref="K237:M237"/>
    <mergeCell ref="N237:O237"/>
    <mergeCell ref="P237:R237"/>
    <mergeCell ref="I238:J238"/>
    <mergeCell ref="K238:M238"/>
    <mergeCell ref="N238:O238"/>
    <mergeCell ref="P238:R238"/>
    <mergeCell ref="I239:J239"/>
    <mergeCell ref="K239:M239"/>
    <mergeCell ref="N239:O239"/>
    <mergeCell ref="P239:R239"/>
    <mergeCell ref="I246:J246"/>
    <mergeCell ref="K246:M246"/>
    <mergeCell ref="N246:O246"/>
    <mergeCell ref="P246:R246"/>
    <mergeCell ref="I247:J247"/>
    <mergeCell ref="K247:M247"/>
    <mergeCell ref="N247:O247"/>
    <mergeCell ref="P247:R247"/>
    <mergeCell ref="I248:J248"/>
    <mergeCell ref="K248:M248"/>
    <mergeCell ref="N248:O248"/>
    <mergeCell ref="P248:R248"/>
    <mergeCell ref="I243:J243"/>
    <mergeCell ref="K243:M243"/>
    <mergeCell ref="N243:O243"/>
    <mergeCell ref="P243:R243"/>
    <mergeCell ref="I244:J244"/>
    <mergeCell ref="K244:M244"/>
    <mergeCell ref="N244:O244"/>
    <mergeCell ref="P244:R244"/>
    <mergeCell ref="I245:J245"/>
    <mergeCell ref="K245:M245"/>
    <mergeCell ref="N245:O245"/>
    <mergeCell ref="P245:R245"/>
    <mergeCell ref="I252:J252"/>
    <mergeCell ref="K252:M252"/>
    <mergeCell ref="N252:O252"/>
    <mergeCell ref="P252:R252"/>
    <mergeCell ref="I253:J253"/>
    <mergeCell ref="K253:M253"/>
    <mergeCell ref="N253:O253"/>
    <mergeCell ref="P253:R253"/>
    <mergeCell ref="I254:J254"/>
    <mergeCell ref="K254:M254"/>
    <mergeCell ref="N254:O254"/>
    <mergeCell ref="P254:R254"/>
    <mergeCell ref="I249:J249"/>
    <mergeCell ref="K249:M249"/>
    <mergeCell ref="N249:O249"/>
    <mergeCell ref="P249:R249"/>
    <mergeCell ref="I250:J250"/>
    <mergeCell ref="K250:M250"/>
    <mergeCell ref="N250:O250"/>
    <mergeCell ref="P250:R250"/>
    <mergeCell ref="I251:J251"/>
    <mergeCell ref="K251:M251"/>
    <mergeCell ref="N251:O251"/>
    <mergeCell ref="P251:R251"/>
    <mergeCell ref="I258:J258"/>
    <mergeCell ref="K258:M258"/>
    <mergeCell ref="N258:O258"/>
    <mergeCell ref="P258:R258"/>
    <mergeCell ref="I259:J259"/>
    <mergeCell ref="K259:M259"/>
    <mergeCell ref="N259:O259"/>
    <mergeCell ref="P259:R259"/>
    <mergeCell ref="I260:J260"/>
    <mergeCell ref="K260:M260"/>
    <mergeCell ref="N260:O260"/>
    <mergeCell ref="P260:R260"/>
    <mergeCell ref="I255:J255"/>
    <mergeCell ref="K255:M255"/>
    <mergeCell ref="N255:O255"/>
    <mergeCell ref="P255:R255"/>
    <mergeCell ref="I256:J256"/>
    <mergeCell ref="K256:M256"/>
    <mergeCell ref="N256:O256"/>
    <mergeCell ref="P256:R256"/>
    <mergeCell ref="I257:J257"/>
    <mergeCell ref="K257:M257"/>
    <mergeCell ref="N257:O257"/>
    <mergeCell ref="P257:R257"/>
    <mergeCell ref="I264:J264"/>
    <mergeCell ref="K264:M264"/>
    <mergeCell ref="N264:O264"/>
    <mergeCell ref="P264:R264"/>
    <mergeCell ref="I265:J265"/>
    <mergeCell ref="K265:M265"/>
    <mergeCell ref="N265:O265"/>
    <mergeCell ref="P265:R265"/>
    <mergeCell ref="I266:J266"/>
    <mergeCell ref="K266:M266"/>
    <mergeCell ref="N266:O266"/>
    <mergeCell ref="P266:R266"/>
    <mergeCell ref="I261:J261"/>
    <mergeCell ref="K261:M261"/>
    <mergeCell ref="N261:O261"/>
    <mergeCell ref="P261:R261"/>
    <mergeCell ref="I262:J262"/>
    <mergeCell ref="K262:M262"/>
    <mergeCell ref="N262:O262"/>
    <mergeCell ref="P262:R262"/>
    <mergeCell ref="I263:J263"/>
    <mergeCell ref="K263:M263"/>
    <mergeCell ref="N263:O263"/>
    <mergeCell ref="P263:R263"/>
    <mergeCell ref="I270:J270"/>
    <mergeCell ref="K270:M270"/>
    <mergeCell ref="N270:O270"/>
    <mergeCell ref="P270:R270"/>
    <mergeCell ref="I271:J271"/>
    <mergeCell ref="K271:M271"/>
    <mergeCell ref="N271:O271"/>
    <mergeCell ref="P271:R271"/>
    <mergeCell ref="I272:J272"/>
    <mergeCell ref="K272:M272"/>
    <mergeCell ref="N272:O272"/>
    <mergeCell ref="P272:R272"/>
    <mergeCell ref="I267:J267"/>
    <mergeCell ref="K267:M267"/>
    <mergeCell ref="N267:O267"/>
    <mergeCell ref="P267:R267"/>
    <mergeCell ref="I268:J268"/>
    <mergeCell ref="K268:M268"/>
    <mergeCell ref="N268:O268"/>
    <mergeCell ref="P268:R268"/>
    <mergeCell ref="I269:J269"/>
    <mergeCell ref="K269:M269"/>
    <mergeCell ref="N269:O269"/>
    <mergeCell ref="P269:R269"/>
    <mergeCell ref="I276:J276"/>
    <mergeCell ref="K276:M276"/>
    <mergeCell ref="N276:O276"/>
    <mergeCell ref="P276:R276"/>
    <mergeCell ref="I277:J277"/>
    <mergeCell ref="K277:M277"/>
    <mergeCell ref="N277:O277"/>
    <mergeCell ref="P277:R277"/>
    <mergeCell ref="I278:J278"/>
    <mergeCell ref="K278:M278"/>
    <mergeCell ref="N278:O278"/>
    <mergeCell ref="P278:R278"/>
    <mergeCell ref="I273:J273"/>
    <mergeCell ref="K273:M273"/>
    <mergeCell ref="N273:O273"/>
    <mergeCell ref="P273:R273"/>
    <mergeCell ref="I274:J274"/>
    <mergeCell ref="K274:M274"/>
    <mergeCell ref="N274:O274"/>
    <mergeCell ref="P274:R274"/>
    <mergeCell ref="I275:J275"/>
    <mergeCell ref="K275:M275"/>
    <mergeCell ref="N275:O275"/>
    <mergeCell ref="P275:R275"/>
    <mergeCell ref="I282:J282"/>
    <mergeCell ref="K282:M282"/>
    <mergeCell ref="N282:O282"/>
    <mergeCell ref="P282:R282"/>
    <mergeCell ref="I283:J283"/>
    <mergeCell ref="K283:M283"/>
    <mergeCell ref="N283:O283"/>
    <mergeCell ref="P283:R283"/>
    <mergeCell ref="I284:J284"/>
    <mergeCell ref="K284:M284"/>
    <mergeCell ref="N284:O284"/>
    <mergeCell ref="P284:R284"/>
    <mergeCell ref="I279:J279"/>
    <mergeCell ref="K279:M279"/>
    <mergeCell ref="N279:O279"/>
    <mergeCell ref="P279:R279"/>
    <mergeCell ref="I280:J280"/>
    <mergeCell ref="K280:M280"/>
    <mergeCell ref="N280:O280"/>
    <mergeCell ref="P280:R280"/>
    <mergeCell ref="I281:J281"/>
    <mergeCell ref="K281:M281"/>
    <mergeCell ref="N281:O281"/>
    <mergeCell ref="P281:R281"/>
    <mergeCell ref="I288:J288"/>
    <mergeCell ref="K288:M288"/>
    <mergeCell ref="N288:O288"/>
    <mergeCell ref="P288:R288"/>
    <mergeCell ref="I289:J289"/>
    <mergeCell ref="K289:M289"/>
    <mergeCell ref="N289:O289"/>
    <mergeCell ref="P289:R289"/>
    <mergeCell ref="I290:J290"/>
    <mergeCell ref="K290:M290"/>
    <mergeCell ref="N290:O290"/>
    <mergeCell ref="P290:R290"/>
    <mergeCell ref="I285:J285"/>
    <mergeCell ref="K285:M285"/>
    <mergeCell ref="N285:O285"/>
    <mergeCell ref="P285:R285"/>
    <mergeCell ref="I286:J286"/>
    <mergeCell ref="K286:M286"/>
    <mergeCell ref="N286:O286"/>
    <mergeCell ref="P286:R286"/>
    <mergeCell ref="I287:J287"/>
    <mergeCell ref="K287:M287"/>
    <mergeCell ref="N287:O287"/>
    <mergeCell ref="P287:R287"/>
    <mergeCell ref="I294:J294"/>
    <mergeCell ref="K294:M294"/>
    <mergeCell ref="N294:O294"/>
    <mergeCell ref="P294:R294"/>
    <mergeCell ref="I295:J295"/>
    <mergeCell ref="K295:M295"/>
    <mergeCell ref="N295:O295"/>
    <mergeCell ref="P295:R295"/>
    <mergeCell ref="I296:J296"/>
    <mergeCell ref="K296:M296"/>
    <mergeCell ref="N296:O296"/>
    <mergeCell ref="P296:R296"/>
    <mergeCell ref="I291:J291"/>
    <mergeCell ref="K291:M291"/>
    <mergeCell ref="N291:O291"/>
    <mergeCell ref="P291:R291"/>
    <mergeCell ref="I292:J292"/>
    <mergeCell ref="K292:M292"/>
    <mergeCell ref="N292:O292"/>
    <mergeCell ref="P292:R292"/>
    <mergeCell ref="I293:J293"/>
    <mergeCell ref="K293:M293"/>
    <mergeCell ref="N293:O293"/>
    <mergeCell ref="P293:R293"/>
    <mergeCell ref="I300:J300"/>
    <mergeCell ref="K300:M300"/>
    <mergeCell ref="N300:O300"/>
    <mergeCell ref="P300:R300"/>
    <mergeCell ref="I301:J301"/>
    <mergeCell ref="K301:M301"/>
    <mergeCell ref="N301:O301"/>
    <mergeCell ref="P301:R301"/>
    <mergeCell ref="I302:J302"/>
    <mergeCell ref="K302:M302"/>
    <mergeCell ref="N302:O302"/>
    <mergeCell ref="P302:R302"/>
    <mergeCell ref="I297:J297"/>
    <mergeCell ref="K297:M297"/>
    <mergeCell ref="N297:O297"/>
    <mergeCell ref="P297:R297"/>
    <mergeCell ref="I298:J298"/>
    <mergeCell ref="K298:M298"/>
    <mergeCell ref="N298:O298"/>
    <mergeCell ref="P298:R298"/>
    <mergeCell ref="I299:J299"/>
    <mergeCell ref="K299:M299"/>
    <mergeCell ref="N299:O299"/>
    <mergeCell ref="P299:R299"/>
    <mergeCell ref="I306:J306"/>
    <mergeCell ref="K306:M306"/>
    <mergeCell ref="N306:O306"/>
    <mergeCell ref="P306:R306"/>
    <mergeCell ref="I307:J307"/>
    <mergeCell ref="K307:M307"/>
    <mergeCell ref="N307:O307"/>
    <mergeCell ref="P307:R307"/>
    <mergeCell ref="I308:J308"/>
    <mergeCell ref="K308:M308"/>
    <mergeCell ref="N308:O308"/>
    <mergeCell ref="P308:R308"/>
    <mergeCell ref="I303:J303"/>
    <mergeCell ref="K303:M303"/>
    <mergeCell ref="N303:O303"/>
    <mergeCell ref="P303:R303"/>
    <mergeCell ref="I304:J304"/>
    <mergeCell ref="K304:M304"/>
    <mergeCell ref="N304:O304"/>
    <mergeCell ref="P304:R304"/>
    <mergeCell ref="I305:J305"/>
    <mergeCell ref="K305:M305"/>
    <mergeCell ref="N305:O305"/>
    <mergeCell ref="P305:R305"/>
    <mergeCell ref="I312:J312"/>
    <mergeCell ref="K312:M312"/>
    <mergeCell ref="N312:O312"/>
    <mergeCell ref="P312:R312"/>
    <mergeCell ref="I313:J313"/>
    <mergeCell ref="K313:M313"/>
    <mergeCell ref="N313:O313"/>
    <mergeCell ref="P313:R313"/>
    <mergeCell ref="I314:J314"/>
    <mergeCell ref="K314:M314"/>
    <mergeCell ref="N314:O314"/>
    <mergeCell ref="P314:R314"/>
    <mergeCell ref="I309:J309"/>
    <mergeCell ref="K309:M309"/>
    <mergeCell ref="N309:O309"/>
    <mergeCell ref="P309:R309"/>
    <mergeCell ref="I310:J310"/>
    <mergeCell ref="K310:M310"/>
    <mergeCell ref="N310:O310"/>
    <mergeCell ref="P310:R310"/>
    <mergeCell ref="I311:J311"/>
    <mergeCell ref="K311:M311"/>
    <mergeCell ref="N311:O311"/>
    <mergeCell ref="P311:R311"/>
    <mergeCell ref="I321:J321"/>
    <mergeCell ref="K321:M321"/>
    <mergeCell ref="N321:O321"/>
    <mergeCell ref="P321:R321"/>
    <mergeCell ref="I318:J318"/>
    <mergeCell ref="K318:M318"/>
    <mergeCell ref="N318:O318"/>
    <mergeCell ref="P318:R318"/>
    <mergeCell ref="I319:J319"/>
    <mergeCell ref="K319:M319"/>
    <mergeCell ref="N319:O319"/>
    <mergeCell ref="P319:R319"/>
    <mergeCell ref="I320:J320"/>
    <mergeCell ref="K320:M320"/>
    <mergeCell ref="N320:O320"/>
    <mergeCell ref="P320:R320"/>
    <mergeCell ref="I315:J315"/>
    <mergeCell ref="K315:M315"/>
    <mergeCell ref="N315:O315"/>
    <mergeCell ref="P315:R315"/>
    <mergeCell ref="I316:J316"/>
    <mergeCell ref="K316:M316"/>
    <mergeCell ref="N316:O316"/>
    <mergeCell ref="P316:R316"/>
    <mergeCell ref="I317:J317"/>
    <mergeCell ref="K317:M317"/>
    <mergeCell ref="N317:O317"/>
    <mergeCell ref="P317:R317"/>
  </mergeCells>
  <conditionalFormatting sqref="E71">
    <cfRule type="expression" dxfId="29" priority="18">
      <formula>$E$72&lt;&gt;""</formula>
    </cfRule>
  </conditionalFormatting>
  <conditionalFormatting sqref="F71">
    <cfRule type="expression" dxfId="28" priority="17">
      <formula>$E$72&lt;&gt;""</formula>
    </cfRule>
  </conditionalFormatting>
  <conditionalFormatting sqref="G71">
    <cfRule type="expression" dxfId="27" priority="16">
      <formula>$E$72&lt;&gt;""</formula>
    </cfRule>
  </conditionalFormatting>
  <conditionalFormatting sqref="H71">
    <cfRule type="expression" dxfId="26" priority="15">
      <formula>$E$72&lt;&gt;""</formula>
    </cfRule>
  </conditionalFormatting>
  <conditionalFormatting sqref="I71:J71">
    <cfRule type="expression" dxfId="25" priority="14">
      <formula>$E$72&lt;&gt;""</formula>
    </cfRule>
  </conditionalFormatting>
  <conditionalFormatting sqref="K71:M71">
    <cfRule type="expression" dxfId="24" priority="13">
      <formula>$E$72&lt;&gt;""</formula>
    </cfRule>
  </conditionalFormatting>
  <conditionalFormatting sqref="N71:O71">
    <cfRule type="expression" dxfId="23" priority="12">
      <formula>$E$72&lt;&gt;""</formula>
    </cfRule>
  </conditionalFormatting>
  <conditionalFormatting sqref="P71:R71">
    <cfRule type="expression" dxfId="22" priority="11">
      <formula>$E$72&lt;&gt;""</formula>
    </cfRule>
  </conditionalFormatting>
  <conditionalFormatting sqref="E72:E321">
    <cfRule type="expression" dxfId="21" priority="10">
      <formula>$E72&lt;&gt;""</formula>
    </cfRule>
  </conditionalFormatting>
  <conditionalFormatting sqref="F72:F321">
    <cfRule type="expression" dxfId="20" priority="9">
      <formula>$E72&lt;&gt;""</formula>
    </cfRule>
  </conditionalFormatting>
  <conditionalFormatting sqref="I72:J321">
    <cfRule type="expression" dxfId="19" priority="6">
      <formula>$E72&lt;&gt;""</formula>
    </cfRule>
  </conditionalFormatting>
  <conditionalFormatting sqref="K72:M321">
    <cfRule type="expression" dxfId="18" priority="5">
      <formula>$E72&lt;&gt;""</formula>
    </cfRule>
  </conditionalFormatting>
  <conditionalFormatting sqref="N72:O321">
    <cfRule type="expression" dxfId="17" priority="4">
      <formula>$E72&lt;&gt;""</formula>
    </cfRule>
  </conditionalFormatting>
  <conditionalFormatting sqref="P72:R321">
    <cfRule type="expression" dxfId="16" priority="3">
      <formula>$E72&lt;&gt;""</formula>
    </cfRule>
  </conditionalFormatting>
  <conditionalFormatting sqref="G72:G321">
    <cfRule type="expression" dxfId="15" priority="2">
      <formula>$E72&lt;&gt;""</formula>
    </cfRule>
  </conditionalFormatting>
  <conditionalFormatting sqref="H72:H321">
    <cfRule type="expression" dxfId="14" priority="1">
      <formula>$E72&lt;&gt;""</formula>
    </cfRule>
  </conditionalFormatting>
  <dataValidations disablePrompts="1" count="1">
    <dataValidation type="list" operator="equal" allowBlank="1" showInputMessage="1" showErrorMessage="1" sqref="E35">
      <formula1>$F$24:$F$35</formula1>
      <formula2>0</formula2>
    </dataValidation>
  </dataValidations>
  <hyperlinks>
    <hyperlink ref="A4" location="'1_Combustibles fósiles'!A1" display="1. HC Alcance 1: Comb. fósiles"/>
    <hyperlink ref="A6" location="'2_Fluorados'!A1" display="2. HC Alcance 1: Fugas fluorados"/>
    <hyperlink ref="A8" location="'3_Emisiones proceso'!A1" display="3. HC Alcance 1: Emisiones proceso"/>
    <hyperlink ref="A10" location="'4.1_Electricidad Illes Balears'!A1" display="4.1 HC 2: Electricidad I. Balears"/>
    <hyperlink ref="A12" location="'4.2_Electricidad España'!A1" display="4.2 HC 2: Electricidad España"/>
    <hyperlink ref="A3" location="'0_Dades generals organització'!A1" display="0. Dades de la organització"/>
    <hyperlink ref="A6:A7" location="'2_Fluorats'!A1" display="2. PC Abast 1: Fugues fluorats"/>
    <hyperlink ref="A4:A5" location="'1_Combustibles fòssils'!A1" display="1. PC Abast 1: Comb. fòssils"/>
    <hyperlink ref="A8:A9" location="'3_Emissions processos'!A1" display="3. PC Abast 1: Emissions procés"/>
    <hyperlink ref="A10:A11" location="'4.1_Electricitat Illes Balears'!A1" display="4.1 PC 2: Electricitat I. Balears"/>
    <hyperlink ref="A12:A13" location="'4.2_Electricitat Espanya'!A1" display="4.2 PC 2: Electricitat Espanya"/>
    <hyperlink ref="A14" location="'5_Informació addicional'!A1" display="5. Inf. addicional: renovables"/>
    <hyperlink ref="A16" location="'6.2_Resultats Espanya'!A1" display="6.2 Informe final: Resultats Espany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49</vt:i4>
      </vt:variant>
    </vt:vector>
  </HeadingPairs>
  <TitlesOfParts>
    <vt:vector size="60" baseType="lpstr">
      <vt:lpstr>PORTADA</vt:lpstr>
      <vt:lpstr>0_Dades generals organització</vt:lpstr>
      <vt:lpstr>1_Combustibles fòssils</vt:lpstr>
      <vt:lpstr>2_Fluorats</vt:lpstr>
      <vt:lpstr>3_Emissions processos</vt:lpstr>
      <vt:lpstr>4.1_Electricitat Illes Balears</vt:lpstr>
      <vt:lpstr>4.2_Electricitat Espanya</vt:lpstr>
      <vt:lpstr>5_Informació addicional</vt:lpstr>
      <vt:lpstr>6.1_Resultats Illes Balears</vt:lpstr>
      <vt:lpstr>6.2_Resultats Espanya</vt:lpstr>
      <vt:lpstr>Dades</vt:lpstr>
      <vt:lpstr>_Com2011</vt:lpstr>
      <vt:lpstr>_Com2012</vt:lpstr>
      <vt:lpstr>_Com2013</vt:lpstr>
      <vt:lpstr>_Com2014</vt:lpstr>
      <vt:lpstr>_Com2015</vt:lpstr>
      <vt:lpstr>_Com2016</vt:lpstr>
      <vt:lpstr>_Com2017</vt:lpstr>
      <vt:lpstr>_Com2018</vt:lpstr>
      <vt:lpstr>_Com2019</vt:lpstr>
      <vt:lpstr>_Com2020</vt:lpstr>
      <vt:lpstr>_Mix2011</vt:lpstr>
      <vt:lpstr>_Mix2012</vt:lpstr>
      <vt:lpstr>_Mix2013</vt:lpstr>
      <vt:lpstr>_Mix2014</vt:lpstr>
      <vt:lpstr>_Mix2015</vt:lpstr>
      <vt:lpstr>_Mix2016</vt:lpstr>
      <vt:lpstr>_Mix2017</vt:lpstr>
      <vt:lpstr>_Mix2018</vt:lpstr>
      <vt:lpstr>_Mix2019</vt:lpstr>
      <vt:lpstr>_Mix2020</vt:lpstr>
      <vt:lpstr>_MixIB</vt:lpstr>
      <vt:lpstr>Año</vt:lpstr>
      <vt:lpstr>GdO_1</vt:lpstr>
      <vt:lpstr>GdO_2</vt:lpstr>
      <vt:lpstr>Lista_Comb_fósiles_fijos_2011</vt:lpstr>
      <vt:lpstr>Lista_Comb_fósiles_fijos_2012</vt:lpstr>
      <vt:lpstr>Lista_Comb_fósiles_fijos_2013</vt:lpstr>
      <vt:lpstr>Lista_Comb_fósiles_fijos_2014</vt:lpstr>
      <vt:lpstr>Lista_Comb_fósiles_fijos_2015</vt:lpstr>
      <vt:lpstr>Lista_Comb_fósiles_fijos_2016</vt:lpstr>
      <vt:lpstr>Lista_Comb_fósiles_fijos_2017</vt:lpstr>
      <vt:lpstr>Lista_Comb_fósiles_fijos_2018</vt:lpstr>
      <vt:lpstr>Lista_Comb_fósiles_fijos_2019</vt:lpstr>
      <vt:lpstr>Lista_Comb_fósiles_fijos_2020</vt:lpstr>
      <vt:lpstr>Lista_Comb_fósiles_vehículos_2011</vt:lpstr>
      <vt:lpstr>Lista_Comb_fósiles_vehículos_2012</vt:lpstr>
      <vt:lpstr>Lista_Comb_fósiles_vehículos_2013</vt:lpstr>
      <vt:lpstr>Lista_Comb_fósiles_vehículos_2014</vt:lpstr>
      <vt:lpstr>Lista_Comb_fósiles_vehículos_2015</vt:lpstr>
      <vt:lpstr>Lista_Comb_fósiles_vehículos_2016</vt:lpstr>
      <vt:lpstr>Lista_Comb_fósiles_vehículos_2017</vt:lpstr>
      <vt:lpstr>Lista_Comb_fósiles_vehículos_2018</vt:lpstr>
      <vt:lpstr>Lista_Comb_fósiles_vehículos_2019</vt:lpstr>
      <vt:lpstr>Lista_Comb_fósiles_vehículos_2020</vt:lpstr>
      <vt:lpstr>NombrePrep</vt:lpstr>
      <vt:lpstr>Sector</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c:creator>
  <dc:description/>
  <cp:lastModifiedBy>CARLOS</cp:lastModifiedBy>
  <cp:revision>68</cp:revision>
  <cp:lastPrinted>2017-01-23T16:49:14Z</cp:lastPrinted>
  <dcterms:created xsi:type="dcterms:W3CDTF">2012-12-08T19:19:39Z</dcterms:created>
  <dcterms:modified xsi:type="dcterms:W3CDTF">2022-07-13T11:17:28Z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